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drawings/drawing3.xml" ContentType="application/vnd.openxmlformats-officedocument.drawing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harts/chart1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2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Ex2.xml" ContentType="application/vnd.ms-office.chartex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keslichfield-my.sharepoint.com/personal/ncooper_keslichfield_org_uk/Documents/13CM Resources/"/>
    </mc:Choice>
  </mc:AlternateContent>
  <xr:revisionPtr revIDLastSave="0" documentId="8_{E9E8A28F-E557-6A4E-BB9C-0B9D804DCE7D}" xr6:coauthVersionLast="47" xr6:coauthVersionMax="47" xr10:uidLastSave="{00000000-0000-0000-0000-000000000000}"/>
  <bookViews>
    <workbookView xWindow="5600" yWindow="1480" windowWidth="21640" windowHeight="15420" xr2:uid="{3275E9FE-3172-1449-ABBB-86A5E77315D7}"/>
  </bookViews>
  <sheets>
    <sheet name="Info For Teachers" sheetId="2" r:id="rId1"/>
    <sheet name="Info For Students" sheetId="3" r:id="rId2"/>
    <sheet name="Key Skills" sheetId="1" r:id="rId3"/>
  </sheets>
  <definedNames>
    <definedName name="_xlchart.v1.0" hidden="1">'Key Skills'!$P$92:$P$133</definedName>
    <definedName name="_xlchart.v1.1" hidden="1">'Key Skills'!$H$22:$R$22</definedName>
    <definedName name="mean">'Key Skills'!$J$8</definedName>
    <definedName name="sample">'Key Skills'!$A$5</definedName>
    <definedName name="total">'Key Skills'!$E$8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22" i="1" l="1"/>
  <c r="B47" i="1"/>
  <c r="A47" i="1"/>
  <c r="E46" i="1"/>
  <c r="D46" i="1"/>
  <c r="C46" i="1"/>
  <c r="B46" i="1"/>
  <c r="A46" i="1"/>
  <c r="E45" i="1"/>
  <c r="D45" i="1"/>
  <c r="C45" i="1"/>
  <c r="B45" i="1"/>
  <c r="A45" i="1"/>
  <c r="C47" i="1"/>
  <c r="P114" i="1"/>
  <c r="P93" i="1"/>
  <c r="P115" i="1"/>
  <c r="P94" i="1"/>
  <c r="P116" i="1"/>
  <c r="P95" i="1"/>
  <c r="P117" i="1"/>
  <c r="P96" i="1"/>
  <c r="P118" i="1"/>
  <c r="P97" i="1"/>
  <c r="P119" i="1"/>
  <c r="P98" i="1"/>
  <c r="P120" i="1"/>
  <c r="P99" i="1"/>
  <c r="P121" i="1"/>
  <c r="P100" i="1"/>
  <c r="P122" i="1"/>
  <c r="P101" i="1"/>
  <c r="P123" i="1"/>
  <c r="P102" i="1"/>
  <c r="P124" i="1"/>
  <c r="P103" i="1"/>
  <c r="P125" i="1"/>
  <c r="P104" i="1"/>
  <c r="P126" i="1"/>
  <c r="P105" i="1"/>
  <c r="P127" i="1"/>
  <c r="P106" i="1"/>
  <c r="P128" i="1"/>
  <c r="P107" i="1"/>
  <c r="P129" i="1"/>
  <c r="P108" i="1"/>
  <c r="P130" i="1"/>
  <c r="P109" i="1"/>
  <c r="P131" i="1"/>
  <c r="P110" i="1"/>
  <c r="P132" i="1"/>
  <c r="P111" i="1"/>
  <c r="P133" i="1"/>
  <c r="P112" i="1"/>
  <c r="P92" i="1"/>
  <c r="P113" i="1"/>
  <c r="H92" i="1"/>
  <c r="H93" i="1"/>
  <c r="I93" i="1"/>
  <c r="H94" i="1"/>
  <c r="I94" i="1"/>
  <c r="H95" i="1"/>
  <c r="I95" i="1"/>
  <c r="H96" i="1"/>
  <c r="I96" i="1"/>
  <c r="H97" i="1"/>
  <c r="I97" i="1"/>
  <c r="H98" i="1"/>
  <c r="I98" i="1"/>
  <c r="H99" i="1"/>
  <c r="I99" i="1"/>
  <c r="H100" i="1"/>
  <c r="I100" i="1"/>
  <c r="H101" i="1"/>
  <c r="I101" i="1"/>
  <c r="H102" i="1"/>
  <c r="I102" i="1"/>
  <c r="H103" i="1"/>
  <c r="I103" i="1"/>
  <c r="H104" i="1"/>
  <c r="I104" i="1"/>
  <c r="H105" i="1"/>
  <c r="I105" i="1"/>
  <c r="H106" i="1"/>
  <c r="I106" i="1"/>
  <c r="H107" i="1"/>
  <c r="I107" i="1"/>
  <c r="H108" i="1"/>
  <c r="I108" i="1"/>
  <c r="H109" i="1"/>
  <c r="I109" i="1"/>
  <c r="A130" i="1" s="1"/>
  <c r="H110" i="1"/>
  <c r="I110" i="1"/>
  <c r="H111" i="1"/>
  <c r="I111" i="1"/>
  <c r="H112" i="1"/>
  <c r="I112" i="1"/>
  <c r="I92" i="1"/>
  <c r="AE266" i="1"/>
  <c r="AD266" i="1"/>
  <c r="AC266" i="1"/>
  <c r="AB266" i="1"/>
  <c r="AA266" i="1"/>
  <c r="Z266" i="1"/>
  <c r="Y266" i="1"/>
  <c r="X266" i="1"/>
  <c r="W266" i="1"/>
  <c r="V266" i="1"/>
  <c r="U266" i="1"/>
  <c r="T266" i="1"/>
  <c r="S266" i="1"/>
  <c r="R266" i="1"/>
  <c r="Q266" i="1"/>
  <c r="P266" i="1"/>
  <c r="O266" i="1"/>
  <c r="N266" i="1"/>
  <c r="M266" i="1"/>
  <c r="L266" i="1"/>
  <c r="AD260" i="1"/>
  <c r="AC260" i="1"/>
  <c r="AB260" i="1"/>
  <c r="AA260" i="1"/>
  <c r="Z260" i="1"/>
  <c r="Y260" i="1"/>
  <c r="X260" i="1"/>
  <c r="W260" i="1"/>
  <c r="V260" i="1"/>
  <c r="U260" i="1"/>
  <c r="T260" i="1"/>
  <c r="S260" i="1"/>
  <c r="R260" i="1"/>
  <c r="Q260" i="1"/>
  <c r="P260" i="1"/>
  <c r="O260" i="1"/>
  <c r="N260" i="1"/>
  <c r="M260" i="1"/>
  <c r="L260" i="1"/>
  <c r="K260" i="1"/>
  <c r="O256" i="1"/>
  <c r="P256" i="1" s="1"/>
  <c r="M256" i="1"/>
  <c r="K256" i="1"/>
  <c r="L256" i="1" s="1"/>
  <c r="Q254" i="1"/>
  <c r="O254" i="1" s="1"/>
  <c r="K254" i="1"/>
  <c r="L254" i="1" s="1"/>
  <c r="Q252" i="1"/>
  <c r="O252" i="1" s="1"/>
  <c r="K252" i="1"/>
  <c r="Q250" i="1"/>
  <c r="O250" i="1" s="1"/>
  <c r="K250" i="1"/>
  <c r="L250" i="1" s="1"/>
  <c r="Q248" i="1"/>
  <c r="O248" i="1" s="1"/>
  <c r="K248" i="1"/>
  <c r="L248" i="1" s="1"/>
  <c r="K246" i="1"/>
  <c r="K244" i="1"/>
  <c r="L244" i="1" s="1"/>
  <c r="M244" i="1" s="1"/>
  <c r="O244" i="1" s="1"/>
  <c r="K242" i="1"/>
  <c r="K240" i="1"/>
  <c r="L240" i="1" s="1"/>
  <c r="M240" i="1" s="1"/>
  <c r="O240" i="1" s="1"/>
  <c r="K238" i="1"/>
  <c r="K236" i="1"/>
  <c r="K234" i="1"/>
  <c r="L234" i="1" s="1"/>
  <c r="O230" i="1"/>
  <c r="N229" i="1"/>
  <c r="I229" i="1"/>
  <c r="K228" i="1" s="1"/>
  <c r="M228" i="1"/>
  <c r="H228" i="1"/>
  <c r="I220" i="1"/>
  <c r="J220" i="1" s="1"/>
  <c r="J215" i="1"/>
  <c r="M214" i="1"/>
  <c r="I214" i="1"/>
  <c r="I216" i="1" s="1"/>
  <c r="J216" i="1" s="1"/>
  <c r="J209" i="1"/>
  <c r="H209" i="1"/>
  <c r="O209" i="1" s="1"/>
  <c r="O207" i="1"/>
  <c r="J207" i="1"/>
  <c r="K207" i="1" s="1"/>
  <c r="O205" i="1"/>
  <c r="P205" i="1" s="1"/>
  <c r="J205" i="1"/>
  <c r="J203" i="1"/>
  <c r="K203" i="1" s="1"/>
  <c r="I203" i="1"/>
  <c r="H203" i="1"/>
  <c r="J201" i="1"/>
  <c r="K201" i="1" s="1"/>
  <c r="I201" i="1"/>
  <c r="H201" i="1"/>
  <c r="H190" i="1"/>
  <c r="A189" i="1" s="1"/>
  <c r="J190" i="1"/>
  <c r="I194" i="1"/>
  <c r="J194" i="1" s="1"/>
  <c r="I192" i="1"/>
  <c r="J192" i="1" s="1"/>
  <c r="J184" i="1"/>
  <c r="J183" i="1"/>
  <c r="I183" i="1"/>
  <c r="J182" i="1"/>
  <c r="I182" i="1"/>
  <c r="I181" i="1"/>
  <c r="J178" i="1"/>
  <c r="I178" i="1"/>
  <c r="H178" i="1"/>
  <c r="J176" i="1"/>
  <c r="I176" i="1"/>
  <c r="H176" i="1"/>
  <c r="I174" i="1"/>
  <c r="H174" i="1" s="1"/>
  <c r="A173" i="1" s="1"/>
  <c r="I172" i="1"/>
  <c r="H172" i="1" s="1"/>
  <c r="J172" i="1" s="1"/>
  <c r="H170" i="1"/>
  <c r="I170" i="1" s="1"/>
  <c r="H168" i="1"/>
  <c r="A167" i="1" s="1"/>
  <c r="H161" i="1"/>
  <c r="I161" i="1"/>
  <c r="I144" i="1"/>
  <c r="H150" i="1" s="1"/>
  <c r="K146" i="1"/>
  <c r="M146" i="1" s="1"/>
  <c r="F146" i="1" s="1"/>
  <c r="I133" i="1"/>
  <c r="C134" i="1"/>
  <c r="E134" i="1" s="1"/>
  <c r="P69" i="1"/>
  <c r="D71" i="1"/>
  <c r="I72" i="1" s="1"/>
  <c r="D70" i="1"/>
  <c r="D69" i="1"/>
  <c r="I70" i="1" s="1"/>
  <c r="D68" i="1"/>
  <c r="O69" i="1" s="1"/>
  <c r="C68" i="1"/>
  <c r="H69" i="1" s="1"/>
  <c r="K50" i="1"/>
  <c r="J50" i="1"/>
  <c r="I50" i="1"/>
  <c r="M49" i="1"/>
  <c r="L49" i="1"/>
  <c r="K49" i="1"/>
  <c r="J49" i="1"/>
  <c r="I49" i="1"/>
  <c r="M48" i="1"/>
  <c r="L48" i="1"/>
  <c r="K48" i="1"/>
  <c r="J48" i="1"/>
  <c r="I48" i="1"/>
  <c r="M39" i="1"/>
  <c r="L39" i="1"/>
  <c r="K39" i="1"/>
  <c r="J39" i="1"/>
  <c r="I39" i="1"/>
  <c r="N38" i="1"/>
  <c r="M38" i="1"/>
  <c r="L38" i="1"/>
  <c r="K38" i="1"/>
  <c r="J38" i="1"/>
  <c r="I38" i="1"/>
  <c r="E20" i="1"/>
  <c r="R22" i="1" s="1"/>
  <c r="D20" i="1"/>
  <c r="Q22" i="1" s="1"/>
  <c r="C20" i="1"/>
  <c r="P22" i="1" s="1"/>
  <c r="B20" i="1"/>
  <c r="O22" i="1" s="1"/>
  <c r="A20" i="1"/>
  <c r="N22" i="1" s="1"/>
  <c r="F19" i="1"/>
  <c r="M22" i="1" s="1"/>
  <c r="E19" i="1"/>
  <c r="L22" i="1" s="1"/>
  <c r="D19" i="1"/>
  <c r="K22" i="1" s="1"/>
  <c r="C19" i="1"/>
  <c r="B19" i="1"/>
  <c r="I22" i="1" s="1"/>
  <c r="A19" i="1"/>
  <c r="I10" i="1"/>
  <c r="A5" i="1"/>
  <c r="A10" i="1" s="1"/>
  <c r="D6" i="1"/>
  <c r="C6" i="1"/>
  <c r="B6" i="1"/>
  <c r="B7" i="1" s="1"/>
  <c r="I263" i="1" l="1"/>
  <c r="H260" i="1"/>
  <c r="J263" i="1"/>
  <c r="K59" i="1"/>
  <c r="L103" i="1"/>
  <c r="L102" i="1"/>
  <c r="M96" i="1"/>
  <c r="M104" i="1"/>
  <c r="M95" i="1"/>
  <c r="L104" i="1"/>
  <c r="M99" i="1"/>
  <c r="M102" i="1"/>
  <c r="M98" i="1"/>
  <c r="M103" i="1"/>
  <c r="M97" i="1"/>
  <c r="M94" i="1"/>
  <c r="I269" i="1"/>
  <c r="I271" i="1" a="1"/>
  <c r="I271" i="1" s="1"/>
  <c r="K266" i="1"/>
  <c r="I273" i="1"/>
  <c r="A272" i="1" s="1"/>
  <c r="J269" i="1"/>
  <c r="I265" i="1" a="1"/>
  <c r="I265" i="1" s="1"/>
  <c r="A264" i="1" s="1"/>
  <c r="H267" i="1"/>
  <c r="J267" i="1"/>
  <c r="A266" i="1"/>
  <c r="M250" i="1"/>
  <c r="H250" i="1" s="1"/>
  <c r="A260" i="1"/>
  <c r="N250" i="1"/>
  <c r="M248" i="1"/>
  <c r="H248" i="1" s="1"/>
  <c r="A253" i="1"/>
  <c r="J217" i="1"/>
  <c r="O203" i="1"/>
  <c r="R203" i="1" s="1"/>
  <c r="S203" i="1" s="1"/>
  <c r="A249" i="1"/>
  <c r="N248" i="1"/>
  <c r="N254" i="1"/>
  <c r="M254" i="1" s="1"/>
  <c r="H254" i="1" s="1"/>
  <c r="A208" i="1"/>
  <c r="L236" i="1"/>
  <c r="M236" i="1" s="1"/>
  <c r="O236" i="1" s="1"/>
  <c r="L246" i="1"/>
  <c r="M246" i="1" s="1"/>
  <c r="O246" i="1" s="1"/>
  <c r="A247" i="1"/>
  <c r="N256" i="1"/>
  <c r="A255" i="1" s="1"/>
  <c r="N244" i="1"/>
  <c r="P244" i="1" s="1"/>
  <c r="A204" i="1"/>
  <c r="M234" i="1"/>
  <c r="O234" i="1" s="1"/>
  <c r="L242" i="1"/>
  <c r="M242" i="1" s="1"/>
  <c r="O242" i="1" s="1"/>
  <c r="H240" i="1"/>
  <c r="Q256" i="1"/>
  <c r="K205" i="1"/>
  <c r="H205" i="1" s="1"/>
  <c r="L252" i="1"/>
  <c r="N252" i="1" s="1"/>
  <c r="R205" i="1"/>
  <c r="A239" i="1"/>
  <c r="R256" i="1"/>
  <c r="L238" i="1"/>
  <c r="M238" i="1" s="1"/>
  <c r="O238" i="1" s="1"/>
  <c r="I219" i="1"/>
  <c r="J219" i="1" s="1"/>
  <c r="J221" i="1" s="1"/>
  <c r="O201" i="1"/>
  <c r="R201" i="1" s="1"/>
  <c r="S201" i="1" s="1"/>
  <c r="N228" i="1"/>
  <c r="A200" i="1"/>
  <c r="A213" i="1"/>
  <c r="J228" i="1"/>
  <c r="P207" i="1"/>
  <c r="Q207" i="1" s="1"/>
  <c r="M217" i="1"/>
  <c r="N217" i="1" s="1"/>
  <c r="A215" i="1"/>
  <c r="I230" i="1"/>
  <c r="K229" i="1" s="1"/>
  <c r="J229" i="1" s="1"/>
  <c r="M215" i="1"/>
  <c r="N215" i="1" s="1"/>
  <c r="H229" i="1"/>
  <c r="K209" i="1"/>
  <c r="P209" i="1" s="1"/>
  <c r="R209" i="1" s="1"/>
  <c r="S209" i="1" s="1"/>
  <c r="K190" i="1"/>
  <c r="H194" i="1"/>
  <c r="H192" i="1"/>
  <c r="A175" i="1"/>
  <c r="A177" i="1"/>
  <c r="A160" i="1"/>
  <c r="J181" i="1"/>
  <c r="I184" i="1"/>
  <c r="K178" i="1"/>
  <c r="A181" i="1"/>
  <c r="A183" i="1"/>
  <c r="K176" i="1"/>
  <c r="J174" i="1"/>
  <c r="A171" i="1"/>
  <c r="K161" i="1"/>
  <c r="I168" i="1"/>
  <c r="A169" i="1"/>
  <c r="K147" i="1"/>
  <c r="K148" i="1" s="1"/>
  <c r="K149" i="1" s="1"/>
  <c r="H144" i="1"/>
  <c r="A144" i="1" s="1"/>
  <c r="C150" i="1"/>
  <c r="K135" i="1"/>
  <c r="M135" i="1" s="1"/>
  <c r="M136" i="1" s="1"/>
  <c r="M137" i="1" s="1"/>
  <c r="M138" i="1" s="1"/>
  <c r="Q69" i="1"/>
  <c r="O70" i="1"/>
  <c r="O71" i="1" s="1"/>
  <c r="O72" i="1" s="1"/>
  <c r="S69" i="1"/>
  <c r="R69" i="1" s="1"/>
  <c r="I69" i="1"/>
  <c r="J69" i="1" s="1"/>
  <c r="I71" i="1"/>
  <c r="K69" i="1"/>
  <c r="L69" i="1" s="1"/>
  <c r="N69" i="1"/>
  <c r="A69" i="1"/>
  <c r="N46" i="1"/>
  <c r="K60" i="1"/>
  <c r="K61" i="1"/>
  <c r="K62" i="1"/>
  <c r="N45" i="1"/>
  <c r="E61" i="1"/>
  <c r="K20" i="1"/>
  <c r="I19" i="1"/>
  <c r="I45" i="1"/>
  <c r="C39" i="1"/>
  <c r="J22" i="1"/>
  <c r="I46" i="1"/>
  <c r="K19" i="1"/>
  <c r="E39" i="1"/>
  <c r="C61" i="1"/>
  <c r="E6" i="1"/>
  <c r="D7" i="1"/>
  <c r="C7" i="1"/>
  <c r="B8" i="1"/>
  <c r="N230" i="1" l="1"/>
  <c r="L108" i="1"/>
  <c r="L107" i="1"/>
  <c r="L105" i="1"/>
  <c r="M105" i="1"/>
  <c r="H269" i="1"/>
  <c r="H271" i="1"/>
  <c r="H265" i="1"/>
  <c r="H263" i="1"/>
  <c r="A270" i="1"/>
  <c r="J222" i="1"/>
  <c r="J223" i="1" s="1"/>
  <c r="J224" i="1" s="1"/>
  <c r="H256" i="1"/>
  <c r="A202" i="1"/>
  <c r="M252" i="1"/>
  <c r="H252" i="1" s="1"/>
  <c r="A243" i="1"/>
  <c r="N218" i="1"/>
  <c r="N219" i="1" s="1"/>
  <c r="N221" i="1" s="1"/>
  <c r="N246" i="1"/>
  <c r="P246" i="1" s="1"/>
  <c r="N242" i="1"/>
  <c r="P242" i="1" s="1"/>
  <c r="H236" i="1"/>
  <c r="H234" i="1"/>
  <c r="H244" i="1"/>
  <c r="A233" i="1"/>
  <c r="A235" i="1"/>
  <c r="S205" i="1"/>
  <c r="H238" i="1"/>
  <c r="R207" i="1"/>
  <c r="A237" i="1"/>
  <c r="A251" i="1"/>
  <c r="O229" i="1"/>
  <c r="H230" i="1"/>
  <c r="A229" i="1" s="1"/>
  <c r="A226" i="1"/>
  <c r="A220" i="1"/>
  <c r="H207" i="1"/>
  <c r="A206" i="1" s="1"/>
  <c r="K192" i="1"/>
  <c r="A191" i="1"/>
  <c r="K194" i="1"/>
  <c r="A193" i="1"/>
  <c r="L135" i="1"/>
  <c r="N135" i="1" s="1"/>
  <c r="K136" i="1" s="1"/>
  <c r="L136" i="1" s="1"/>
  <c r="N136" i="1" s="1"/>
  <c r="K137" i="1" s="1"/>
  <c r="C69" i="1"/>
  <c r="A70" i="1" s="1"/>
  <c r="P70" i="1"/>
  <c r="I73" i="1"/>
  <c r="M69" i="1"/>
  <c r="I20" i="1"/>
  <c r="D8" i="1"/>
  <c r="C8" i="1"/>
  <c r="E7" i="1"/>
  <c r="L110" i="1" l="1"/>
  <c r="L109" i="1"/>
  <c r="J225" i="1"/>
  <c r="A241" i="1"/>
  <c r="H242" i="1"/>
  <c r="A245" i="1"/>
  <c r="N220" i="1"/>
  <c r="H246" i="1"/>
  <c r="A228" i="1"/>
  <c r="A222" i="1"/>
  <c r="A224" i="1"/>
  <c r="K195" i="1"/>
  <c r="L195" i="1" s="1"/>
  <c r="J230" i="1"/>
  <c r="S207" i="1"/>
  <c r="L137" i="1"/>
  <c r="N137" i="1" s="1"/>
  <c r="K138" i="1" s="1"/>
  <c r="C70" i="1"/>
  <c r="A71" i="1" s="1"/>
  <c r="P71" i="1"/>
  <c r="H70" i="1"/>
  <c r="J70" i="1" s="1"/>
  <c r="N70" i="1"/>
  <c r="S70" i="1"/>
  <c r="R70" i="1" s="1"/>
  <c r="Q70" i="1"/>
  <c r="E8" i="1"/>
  <c r="I7" i="1" s="1"/>
  <c r="N71" i="1" l="1"/>
  <c r="L138" i="1"/>
  <c r="N138" i="1" s="1"/>
  <c r="O139" i="1" s="1"/>
  <c r="K70" i="1"/>
  <c r="L70" i="1" s="1"/>
  <c r="M70" i="1" s="1"/>
  <c r="H71" i="1"/>
  <c r="K71" i="1" s="1"/>
  <c r="L71" i="1" s="1"/>
  <c r="M71" i="1" s="1"/>
  <c r="C71" i="1"/>
  <c r="N72" i="1" s="1"/>
  <c r="P72" i="1"/>
  <c r="S71" i="1"/>
  <c r="R71" i="1" s="1"/>
  <c r="Q71" i="1"/>
  <c r="K7" i="1"/>
  <c r="K6" i="1"/>
  <c r="J7" i="1"/>
  <c r="J6" i="1"/>
  <c r="I6" i="1"/>
  <c r="N139" i="1" l="1"/>
  <c r="H72" i="1"/>
  <c r="K72" i="1" s="1"/>
  <c r="L72" i="1" s="1"/>
  <c r="M72" i="1" s="1"/>
  <c r="M73" i="1" s="1"/>
  <c r="J75" i="1" s="1"/>
  <c r="J71" i="1"/>
  <c r="S72" i="1"/>
  <c r="R72" i="1" s="1"/>
  <c r="Q72" i="1"/>
  <c r="L8" i="1"/>
  <c r="K10" i="1"/>
  <c r="J72" i="1" l="1"/>
  <c r="J73" i="1" s="1"/>
  <c r="J74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<sst xmlns="http://schemas.openxmlformats.org/spreadsheetml/2006/main" count="250" uniqueCount="169">
  <si>
    <t>Core Maths Key Skills</t>
  </si>
  <si>
    <t>Stratified Sampling:</t>
  </si>
  <si>
    <t>Year 7</t>
  </si>
  <si>
    <t>Year 8</t>
  </si>
  <si>
    <t>Year 9</t>
  </si>
  <si>
    <t>Total</t>
  </si>
  <si>
    <t>Male</t>
  </si>
  <si>
    <t>Female</t>
  </si>
  <si>
    <t>Why is stratified sampling a good approach?</t>
  </si>
  <si>
    <t>Describe the key elements of selecting a stratified sample.</t>
  </si>
  <si>
    <t>Discrete Data</t>
  </si>
  <si>
    <t>The following times were recorded, in minutes, for how long it took some 20-30 year olds to travel to work:</t>
  </si>
  <si>
    <t>What is the median time?</t>
  </si>
  <si>
    <t>What is the interquartile range of times?</t>
  </si>
  <si>
    <t>Median</t>
  </si>
  <si>
    <t>IQR</t>
  </si>
  <si>
    <t>Draw a box plot for the data.</t>
  </si>
  <si>
    <t>The times recorded to get to work by 50-60 years olds had the following data:</t>
  </si>
  <si>
    <t xml:space="preserve">Median time:  </t>
  </si>
  <si>
    <t>IQR:</t>
  </si>
  <si>
    <t>Compare the times of the two age groups.</t>
  </si>
  <si>
    <t>(rounded to take only certain values)</t>
  </si>
  <si>
    <t>The distances travelled by students to get to secondary schools have:</t>
  </si>
  <si>
    <t xml:space="preserve">Median distance: </t>
  </si>
  <si>
    <t>Compare the distances travelled of the two groups.</t>
  </si>
  <si>
    <t>The following distances, in km, are how far some students travel to primary schools.</t>
  </si>
  <si>
    <t>What is the median distance?</t>
  </si>
  <si>
    <t>What is the interquartile range of distances?</t>
  </si>
  <si>
    <t>UQ</t>
  </si>
  <si>
    <t>LQ</t>
  </si>
  <si>
    <t>min</t>
  </si>
  <si>
    <t>max</t>
  </si>
  <si>
    <t>means 0.2 km</t>
  </si>
  <si>
    <t>C</t>
  </si>
  <si>
    <t>Continuous Data</t>
  </si>
  <si>
    <t>Frequency</t>
  </si>
  <si>
    <t>&lt; x ≤</t>
  </si>
  <si>
    <t>mean - x</t>
  </si>
  <si>
    <t>Mean</t>
  </si>
  <si>
    <t>Standard Deviation</t>
  </si>
  <si>
    <t>Estimate the mean for the data (2dp).</t>
  </si>
  <si>
    <t>Estimate the standard deviation for the data (2dp).</t>
  </si>
  <si>
    <t>The following table gives some frequencies for a sample of data:</t>
  </si>
  <si>
    <t>Upper</t>
  </si>
  <si>
    <t>CF</t>
  </si>
  <si>
    <t>cw</t>
  </si>
  <si>
    <t>fd</t>
  </si>
  <si>
    <t>start</t>
  </si>
  <si>
    <t>end</t>
  </si>
  <si>
    <t>A</t>
  </si>
  <si>
    <t>B</t>
  </si>
  <si>
    <t>D</t>
  </si>
  <si>
    <t>E</t>
  </si>
  <si>
    <t>Month</t>
  </si>
  <si>
    <t>Opening Balance</t>
  </si>
  <si>
    <t>Interest</t>
  </si>
  <si>
    <t>Repayment</t>
  </si>
  <si>
    <t>Closing Balance</t>
  </si>
  <si>
    <t>Mortgages and Spreadsheets</t>
  </si>
  <si>
    <t>What formula would go in cell C2?</t>
  </si>
  <si>
    <t>What fomula would go in cell B3?</t>
  </si>
  <si>
    <t>The amount of mortgage outstanding at the end of the nth month, £An, is given by the iteration formula:</t>
  </si>
  <si>
    <t>Amount outstanding</t>
  </si>
  <si>
    <r>
      <t>A</t>
    </r>
    <r>
      <rPr>
        <vertAlign val="subscript"/>
        <sz val="12"/>
        <color theme="1"/>
        <rFont val="Century Gothic"/>
        <family val="1"/>
      </rPr>
      <t>n</t>
    </r>
    <r>
      <rPr>
        <sz val="12"/>
        <color theme="1"/>
        <rFont val="Century Gothic"/>
        <family val="1"/>
      </rPr>
      <t xml:space="preserve"> = </t>
    </r>
  </si>
  <si>
    <t>Complete the iteration formula with the multiplier (correct to 4dp)</t>
  </si>
  <si>
    <r>
      <t>* A</t>
    </r>
    <r>
      <rPr>
        <vertAlign val="subscript"/>
        <sz val="12"/>
        <color theme="1"/>
        <rFont val="Century Gothic"/>
        <family val="1"/>
      </rPr>
      <t xml:space="preserve">n-1 </t>
    </r>
    <r>
      <rPr>
        <sz val="12"/>
        <color theme="1"/>
        <rFont val="Century Gothic"/>
        <family val="1"/>
      </rPr>
      <t xml:space="preserve"> -</t>
    </r>
  </si>
  <si>
    <t>Complete the table to show the amount of mortgage outstanding at the end of each of the first 3 months.</t>
  </si>
  <si>
    <t>Error Intervals</t>
  </si>
  <si>
    <t>Starting</t>
  </si>
  <si>
    <t>Rate</t>
  </si>
  <si>
    <t>Years</t>
  </si>
  <si>
    <t>Ending</t>
  </si>
  <si>
    <t>Compound Interest</t>
  </si>
  <si>
    <t>AER</t>
  </si>
  <si>
    <t>The interest details for 3 different accounts are given below.  
By calculating the AER, correct to 3 decimal places, state which account has the best annual equivalent rate.</t>
  </si>
  <si>
    <t>Best annual equivalent rate is account:</t>
  </si>
  <si>
    <t>APR</t>
  </si>
  <si>
    <t>Loan</t>
  </si>
  <si>
    <t>Interest Rate</t>
  </si>
  <si>
    <t>i</t>
  </si>
  <si>
    <t>Time 1</t>
  </si>
  <si>
    <t>Time 2</t>
  </si>
  <si>
    <t>Time 3</t>
  </si>
  <si>
    <t>Total Repayment</t>
  </si>
  <si>
    <t>Cost</t>
  </si>
  <si>
    <t>How much of the mortgage is still owed after 4 months?</t>
  </si>
  <si>
    <t>Income Tax and National Insurance</t>
  </si>
  <si>
    <t>Using 2021-22 preliminary material</t>
  </si>
  <si>
    <t>Over £50000 no student loans</t>
  </si>
  <si>
    <t>Under 50000 no student loan</t>
  </si>
  <si>
    <t>Tax</t>
  </si>
  <si>
    <t>Salary</t>
  </si>
  <si>
    <t>Lower band</t>
  </si>
  <si>
    <t>Higher band</t>
  </si>
  <si>
    <t>NI</t>
  </si>
  <si>
    <t>Total Deductions</t>
  </si>
  <si>
    <t xml:space="preserve">Net pay </t>
  </si>
  <si>
    <t>Annual</t>
  </si>
  <si>
    <t>Monthly</t>
  </si>
  <si>
    <t>Weekly</t>
  </si>
  <si>
    <t>RPI</t>
  </si>
  <si>
    <t>Year</t>
  </si>
  <si>
    <t>Year 1</t>
  </si>
  <si>
    <t>Year 2</t>
  </si>
  <si>
    <t>Year 3</t>
  </si>
  <si>
    <t>cost 1</t>
  </si>
  <si>
    <t>cost 2</t>
  </si>
  <si>
    <t>cost 3</t>
  </si>
  <si>
    <t>Normal Distribution</t>
  </si>
  <si>
    <t>Normal Distribution Forwards</t>
  </si>
  <si>
    <t>Less than positive z</t>
  </si>
  <si>
    <t>Less than negative z</t>
  </si>
  <si>
    <t>Greater than positive z</t>
  </si>
  <si>
    <t>Between 2 positive z</t>
  </si>
  <si>
    <t>Between positive and negative z</t>
  </si>
  <si>
    <t>Between 2 negative z</t>
  </si>
  <si>
    <t>Normal Distribution Backwards</t>
  </si>
  <si>
    <t>Greater than negative z</t>
  </si>
  <si>
    <t>Confidence Intervals</t>
  </si>
  <si>
    <t>Answer</t>
  </si>
  <si>
    <t>Topic</t>
  </si>
  <si>
    <t>Sub-topic</t>
  </si>
  <si>
    <t>SD</t>
  </si>
  <si>
    <t>X</t>
  </si>
  <si>
    <t>Z1</t>
  </si>
  <si>
    <t>z2</t>
  </si>
  <si>
    <t>prob</t>
  </si>
  <si>
    <t>(Probabilities to 4dp, x values to 2dp)</t>
  </si>
  <si>
    <t>Using the self-marking sheets</t>
  </si>
  <si>
    <t>Enter your solutions into the yellow cells</t>
  </si>
  <si>
    <t>Follow the instructions for decimal places.</t>
  </si>
  <si>
    <t>To generate new questions, press F9.</t>
  </si>
  <si>
    <t>If correct, the cell will turn green.</t>
  </si>
  <si>
    <t>Due to its nature, there isn't any error allowance, so you must be accurate.</t>
  </si>
  <si>
    <t>There are several ways to use these key skills:</t>
  </si>
  <si>
    <t>1. As self marking sheets for students</t>
  </si>
  <si>
    <t>If giving to students, delete this sheet (after reading the following).</t>
  </si>
  <si>
    <t>2. As print out sheets</t>
  </si>
  <si>
    <t>3. Selecting relevant questions to you</t>
  </si>
  <si>
    <t>Just copy and paste the questions.</t>
  </si>
  <si>
    <t>There are bound to be errors, sorry!  Feel free to let me know so I can correct.</t>
  </si>
  <si>
    <t>A random retrieval of key skills is planned next.</t>
  </si>
  <si>
    <t>Correlation and Regression</t>
  </si>
  <si>
    <t>Find the equation for the line of regression of y on x for the above data.</t>
  </si>
  <si>
    <t>(All to 2 decimal places and no spaces)</t>
  </si>
  <si>
    <t>Find the equation for the line of regression for the above data.</t>
  </si>
  <si>
    <t>lower</t>
  </si>
  <si>
    <t>upper</t>
  </si>
  <si>
    <t>cf</t>
  </si>
  <si>
    <t>The following cumulative frequency shows the distances, in m, of students in class A jumping the long jump.</t>
  </si>
  <si>
    <t>median</t>
  </si>
  <si>
    <t>Cumulative Frequency</t>
  </si>
  <si>
    <t>Frequency Density (2dp)</t>
  </si>
  <si>
    <t>Construct a histogram for the data, completing the table above.</t>
  </si>
  <si>
    <t>Construct a cumulative frequency graph for the data, completing the table above.</t>
  </si>
  <si>
    <t>Press button 1 to show boxplot.  Delete boxplot before refreshing questions.</t>
  </si>
  <si>
    <t>Draw a stem and leaf diagram for the data.</t>
  </si>
  <si>
    <t>Press button 7 to show stem and leaf diagram.  Delete before refreshing questions.</t>
  </si>
  <si>
    <t>Delete any graphs or charts that you have shown before generating new questions.</t>
  </si>
  <si>
    <t>Estimate the median distance long jump by class A.</t>
  </si>
  <si>
    <t>Estimate the interquartile range of the distances for class A.</t>
  </si>
  <si>
    <t>The following box plot shows the distances, in m, of students in class B jumping the long jump.
Compare the long jump distances for class A and class B.</t>
  </si>
  <si>
    <t>Press button 9 to show cumulative frequency graph.  Delete before refreshing questions.</t>
  </si>
  <si>
    <t>%</t>
  </si>
  <si>
    <t>It should be set up to print the pages as A4, printing the pages with questions on first.  Just select the page numbers.  You can also print 2 to a page.
Solutions are highlighted in green on the right hand side.</t>
  </si>
  <si>
    <t>Make sure the manual calculator option is turned on (formulas, calculator options, manual).</t>
  </si>
  <si>
    <t>To see some of the graphs, press the button near the question (if using a macro-enabled sheet):</t>
  </si>
  <si>
    <t xml:space="preserve">You will need to hide the answers.  The easiest way to do this is to highlight columns H to AE and change the font  colour and cell fill to white.  </t>
  </si>
  <si>
    <t>Please note, there are questions which do not have the self-marking aspect, such as drawing graphs and giving explanations, although I have added some macro buttons to show some graphs (if you're in a macro enabled spreadsheet).  However, being new to macros, at the moment the charts just appear over questions, and you need to delete them before generating new questions.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</si>
</sst>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0.0000"/>
  </numFmts>
  <fonts count="16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entury Gothic"/>
      <family val="1"/>
    </font>
    <font>
      <sz val="14"/>
      <color theme="1"/>
      <name val="Century Gothic"/>
      <family val="1"/>
    </font>
    <font>
      <sz val="28"/>
      <color theme="1"/>
      <name val="Century Gothic"/>
      <family val="1"/>
    </font>
    <font>
      <sz val="12"/>
      <color theme="0"/>
      <name val="Century Gothic"/>
      <family val="1"/>
    </font>
    <font>
      <sz val="11"/>
      <color theme="1"/>
      <name val="Century Gothic"/>
      <family val="2"/>
    </font>
    <font>
      <sz val="12"/>
      <color theme="1"/>
      <name val="Century Gothic"/>
      <family val="2"/>
    </font>
    <font>
      <sz val="11"/>
      <color rgb="FF000000"/>
      <name val="Century Gothic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entury Gothic"/>
      <family val="1"/>
    </font>
    <font>
      <vertAlign val="subscript"/>
      <sz val="12"/>
      <color theme="1"/>
      <name val="Century Gothic"/>
      <family val="1"/>
    </font>
    <font>
      <b/>
      <sz val="12"/>
      <color rgb="FFFF0000"/>
      <name val="Calibri"/>
      <family val="2"/>
      <scheme val="minor"/>
    </font>
    <font>
      <i/>
      <sz val="12"/>
      <color theme="1"/>
      <name val="Lucida Calligraphy Italic"/>
    </font>
    <font>
      <sz val="12"/>
      <color rgb="FF000000"/>
      <name val="Calibri"/>
      <family val="2"/>
    </font>
    <font>
      <sz val="16"/>
      <color theme="1"/>
      <name val="Century Gothic"/>
      <family val="1"/>
    </font>
  </fonts>
  <fills count="7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4" borderId="0" xfId="0" applyFont="1" applyFill="1"/>
    <xf numFmtId="0" fontId="3" fillId="0" borderId="0" xfId="0" applyFont="1" applyAlignment="1">
      <alignment vertical="center"/>
    </xf>
    <xf numFmtId="0" fontId="3" fillId="5" borderId="1" xfId="0" applyFont="1" applyFill="1" applyBorder="1" applyAlignment="1">
      <alignment horizontal="center" vertical="center"/>
    </xf>
    <xf numFmtId="0" fontId="7" fillId="0" borderId="0" xfId="0" applyFont="1"/>
    <xf numFmtId="0" fontId="0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2" fontId="0" fillId="0" borderId="0" xfId="0" applyNumberFormat="1"/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left"/>
    </xf>
    <xf numFmtId="0" fontId="2" fillId="6" borderId="0" xfId="0" applyFont="1" applyFill="1" applyAlignment="1">
      <alignment horizontal="center"/>
    </xf>
    <xf numFmtId="0" fontId="2" fillId="6" borderId="0" xfId="0" applyFont="1" applyFill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 vertical="center" wrapText="1"/>
    </xf>
    <xf numFmtId="2" fontId="2" fillId="0" borderId="0" xfId="0" applyNumberFormat="1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166" fontId="3" fillId="4" borderId="0" xfId="0" applyNumberFormat="1" applyFont="1" applyFill="1"/>
    <xf numFmtId="0" fontId="2" fillId="5" borderId="1" xfId="0" applyFont="1" applyFill="1" applyBorder="1" applyAlignment="1">
      <alignment horizontal="center" vertical="center" wrapText="1"/>
    </xf>
    <xf numFmtId="2" fontId="2" fillId="0" borderId="0" xfId="0" applyNumberFormat="1" applyFont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vertical="top" wrapText="1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5" borderId="1" xfId="0" applyFill="1" applyBorder="1"/>
    <xf numFmtId="0" fontId="0" fillId="4" borderId="0" xfId="0" applyFill="1"/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3" xfId="0" applyFont="1" applyBorder="1" applyAlignment="1">
      <alignment vertical="center"/>
    </xf>
    <xf numFmtId="0" fontId="13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13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left" vertical="center"/>
    </xf>
    <xf numFmtId="0" fontId="7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2" xfId="0" applyFont="1" applyFill="1" applyBorder="1"/>
    <xf numFmtId="0" fontId="2" fillId="0" borderId="0" xfId="0" applyFont="1" applyFill="1" applyBorder="1"/>
    <xf numFmtId="0" fontId="8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Border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wrapText="1"/>
    </xf>
    <xf numFmtId="166" fontId="0" fillId="4" borderId="0" xfId="0" applyNumberFormat="1" applyFill="1"/>
    <xf numFmtId="2" fontId="0" fillId="4" borderId="0" xfId="0" applyNumberFormat="1" applyFill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3" borderId="0" xfId="0" applyFont="1" applyFill="1" applyAlignment="1">
      <alignment horizontal="left"/>
    </xf>
    <xf numFmtId="0" fontId="2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wrapText="1"/>
    </xf>
    <xf numFmtId="0" fontId="2" fillId="6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0" fontId="2" fillId="0" borderId="0" xfId="0" applyFont="1" applyAlignment="1">
      <alignment horizontal="right"/>
    </xf>
    <xf numFmtId="0" fontId="4" fillId="2" borderId="0" xfId="0" applyFont="1" applyFill="1" applyAlignment="1">
      <alignment horizontal="center"/>
    </xf>
    <xf numFmtId="0" fontId="2" fillId="5" borderId="0" xfId="0" applyFont="1" applyFill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5" fillId="0" borderId="0" xfId="0" applyFont="1" applyAlignment="1">
      <alignment vertical="center" wrapText="1"/>
    </xf>
    <xf numFmtId="0" fontId="15" fillId="0" borderId="0" xfId="0" applyFont="1"/>
    <xf numFmtId="0" fontId="15" fillId="5" borderId="1" xfId="0" applyFont="1" applyFill="1" applyBorder="1"/>
    <xf numFmtId="0" fontId="15" fillId="4" borderId="1" xfId="0" applyFont="1" applyFill="1" applyBorder="1"/>
    <xf numFmtId="0" fontId="3" fillId="0" borderId="0" xfId="0" applyFont="1" applyBorder="1"/>
    <xf numFmtId="0" fontId="0" fillId="0" borderId="0" xfId="0" applyBorder="1"/>
    <xf numFmtId="1" fontId="0" fillId="0" borderId="0" xfId="0" applyNumberFormat="1" applyBorder="1"/>
    <xf numFmtId="0" fontId="3" fillId="4" borderId="0" xfId="0" applyFont="1" applyFill="1" applyBorder="1"/>
    <xf numFmtId="0" fontId="3" fillId="0" borderId="0" xfId="0" applyFont="1" applyBorder="1" applyAlignment="1">
      <alignment vertical="center"/>
    </xf>
    <xf numFmtId="0" fontId="6" fillId="0" borderId="0" xfId="0" applyFont="1" applyBorder="1"/>
    <xf numFmtId="0" fontId="8" fillId="0" borderId="0" xfId="0" applyFont="1" applyBorder="1"/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left" vertical="center"/>
    </xf>
    <xf numFmtId="2" fontId="0" fillId="4" borderId="0" xfId="0" applyNumberForma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6" borderId="0" xfId="0" applyFill="1" applyBorder="1" applyAlignment="1">
      <alignment horizontal="center"/>
    </xf>
    <xf numFmtId="0" fontId="0" fillId="6" borderId="0" xfId="0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2" fontId="0" fillId="0" borderId="0" xfId="0" applyNumberFormat="1" applyBorder="1" applyAlignment="1">
      <alignment horizontal="center"/>
    </xf>
    <xf numFmtId="2" fontId="3" fillId="4" borderId="0" xfId="0" applyNumberFormat="1" applyFont="1" applyFill="1" applyBorder="1"/>
    <xf numFmtId="0" fontId="2" fillId="6" borderId="0" xfId="0" applyFont="1" applyFill="1" applyBorder="1" applyAlignment="1">
      <alignment horizontal="center"/>
    </xf>
    <xf numFmtId="0" fontId="2" fillId="6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2" fontId="2" fillId="0" borderId="0" xfId="0" applyNumberFormat="1" applyFont="1" applyBorder="1" applyAlignment="1">
      <alignment horizontal="center"/>
    </xf>
    <xf numFmtId="2" fontId="0" fillId="4" borderId="0" xfId="0" applyNumberFormat="1" applyFill="1" applyBorder="1"/>
    <xf numFmtId="0" fontId="0" fillId="4" borderId="0" xfId="0" applyFill="1" applyBorder="1"/>
    <xf numFmtId="2" fontId="0" fillId="0" borderId="0" xfId="0" applyNumberFormat="1" applyBorder="1"/>
    <xf numFmtId="164" fontId="0" fillId="0" borderId="0" xfId="0" applyNumberFormat="1" applyBorder="1"/>
    <xf numFmtId="0" fontId="6" fillId="0" borderId="0" xfId="0" applyFont="1" applyBorder="1" applyAlignment="1">
      <alignment horizontal="center" vertical="top" wrapText="1"/>
    </xf>
    <xf numFmtId="0" fontId="6" fillId="0" borderId="0" xfId="0" applyFont="1" applyBorder="1" applyAlignment="1">
      <alignment vertical="top" wrapText="1"/>
    </xf>
    <xf numFmtId="165" fontId="6" fillId="4" borderId="0" xfId="0" applyNumberFormat="1" applyFont="1" applyFill="1" applyBorder="1" applyAlignment="1">
      <alignment vertical="top" wrapText="1"/>
    </xf>
    <xf numFmtId="165" fontId="6" fillId="0" borderId="0" xfId="0" applyNumberFormat="1" applyFont="1" applyBorder="1" applyAlignment="1">
      <alignment vertical="top" wrapText="1"/>
    </xf>
    <xf numFmtId="165" fontId="3" fillId="0" borderId="0" xfId="0" applyNumberFormat="1" applyFont="1" applyBorder="1"/>
    <xf numFmtId="0" fontId="12" fillId="0" borderId="0" xfId="0" applyFont="1" applyBorder="1"/>
    <xf numFmtId="0" fontId="1" fillId="0" borderId="0" xfId="0" applyFont="1" applyBorder="1"/>
    <xf numFmtId="2" fontId="1" fillId="0" borderId="0" xfId="0" applyNumberFormat="1" applyFont="1" applyBorder="1"/>
    <xf numFmtId="2" fontId="1" fillId="4" borderId="0" xfId="0" applyNumberFormat="1" applyFont="1" applyFill="1" applyBorder="1"/>
    <xf numFmtId="164" fontId="0" fillId="4" borderId="0" xfId="0" applyNumberFormat="1" applyFill="1" applyBorder="1"/>
    <xf numFmtId="0" fontId="6" fillId="0" borderId="0" xfId="0" applyFont="1" applyBorder="1" applyAlignment="1">
      <alignment wrapText="1"/>
    </xf>
    <xf numFmtId="0" fontId="0" fillId="0" borderId="0" xfId="0" applyBorder="1" applyAlignment="1">
      <alignment wrapText="1"/>
    </xf>
  </cellXfs>
  <cellStyles count="1">
    <cellStyle name="Normal" xfId="0" builtinId="0"/>
  </cellStyles>
  <dxfs count="67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kumimoji="0" lang="en-GB" sz="14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uLnTx/>
                <a:uFillTx/>
                <a:latin typeface="Calibri" panose="020F0502020204030204"/>
              </a:rPr>
              <a:t>Chart Title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1"/>
          <c:order val="0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'Key Skills'!$N$69:$N$72</c:f>
              <c:numCache>
                <c:formatCode>General</c:formatCode>
                <c:ptCount val="4"/>
                <c:pt idx="0">
                  <c:v>3</c:v>
                </c:pt>
                <c:pt idx="1">
                  <c:v>4</c:v>
                </c:pt>
                <c:pt idx="2">
                  <c:v>6</c:v>
                </c:pt>
                <c:pt idx="3">
                  <c:v>11</c:v>
                </c:pt>
              </c:numCache>
            </c:numRef>
          </c:xVal>
          <c:yVal>
            <c:numRef>
              <c:f>'Key Skills'!$O$69:$O$72</c:f>
              <c:numCache>
                <c:formatCode>General</c:formatCode>
                <c:ptCount val="4"/>
                <c:pt idx="0">
                  <c:v>23</c:v>
                </c:pt>
                <c:pt idx="1">
                  <c:v>28</c:v>
                </c:pt>
                <c:pt idx="2">
                  <c:v>53</c:v>
                </c:pt>
                <c:pt idx="3">
                  <c:v>63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20E5-C948-86CB-E24532A586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716559"/>
        <c:axId val="38597551"/>
      </c:scatterChart>
      <c:valAx>
        <c:axId val="387165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597551"/>
        <c:crosses val="autoZero"/>
        <c:crossBetween val="midCat"/>
      </c:valAx>
      <c:valAx>
        <c:axId val="385975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71655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Class A Long Jump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'Key Skills'!$L$93:$L$99</c:f>
              <c:numCache>
                <c:formatCode>General</c:formatCode>
                <c:ptCount val="7"/>
                <c:pt idx="0">
                  <c:v>1</c:v>
                </c:pt>
                <c:pt idx="1">
                  <c:v>1.5</c:v>
                </c:pt>
                <c:pt idx="2">
                  <c:v>2</c:v>
                </c:pt>
                <c:pt idx="3">
                  <c:v>2.5</c:v>
                </c:pt>
                <c:pt idx="4">
                  <c:v>3</c:v>
                </c:pt>
                <c:pt idx="5">
                  <c:v>3.5</c:v>
                </c:pt>
                <c:pt idx="6">
                  <c:v>4</c:v>
                </c:pt>
              </c:numCache>
            </c:numRef>
          </c:xVal>
          <c:yVal>
            <c:numRef>
              <c:f>'Key Skills'!$M$93:$M$99</c:f>
              <c:numCache>
                <c:formatCode>General</c:formatCode>
                <c:ptCount val="7"/>
                <c:pt idx="0">
                  <c:v>0</c:v>
                </c:pt>
                <c:pt idx="1">
                  <c:v>5</c:v>
                </c:pt>
                <c:pt idx="2">
                  <c:v>11</c:v>
                </c:pt>
                <c:pt idx="3">
                  <c:v>13</c:v>
                </c:pt>
                <c:pt idx="4">
                  <c:v>16</c:v>
                </c:pt>
                <c:pt idx="5">
                  <c:v>25</c:v>
                </c:pt>
                <c:pt idx="6">
                  <c:v>32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40A-1B48-9578-6BC7D0F544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8415071"/>
        <c:axId val="102785615"/>
      </c:scatterChart>
      <c:valAx>
        <c:axId val="428415071"/>
        <c:scaling>
          <c:orientation val="minMax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Distance , 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785615"/>
        <c:crosses val="autoZero"/>
        <c:crossBetween val="midCat"/>
      </c:valAx>
      <c:valAx>
        <c:axId val="1027856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Cumulative Frequency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841507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 dir="row">_xlchart.v1.1</cx:f>
      </cx:numDim>
    </cx:data>
  </cx:chartData>
  <cx:chart>
    <cx:title pos="t" align="ctr" overlay="0"/>
    <cx:plotArea>
      <cx:plotAreaRegion>
        <cx:series layoutId="boxWhisker" uniqueId="{5F9675FE-E7EC-B147-B967-5D2B11DC9715}">
          <cx:dataId val="0"/>
          <cx:layoutPr>
            <cx:visibility meanLine="0" meanMarker="0" nonoutliers="0" outliers="1"/>
            <cx:statistics quartileMethod="exclusive"/>
          </cx:layoutPr>
        </cx:series>
      </cx:plotAreaRegion>
      <cx:axis id="0">
        <cx:catScaling gapWidth="1.10000002"/>
        <cx:tickLabels/>
      </cx:axis>
      <cx:axis id="1">
        <cx:valScaling/>
        <cx:title>
          <cx:tx>
            <cx:txData>
              <cx:v>Time, minutes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/>
              </a:pPr>
              <a:r>
                <a:rPr lang="en-GB" sz="900" b="1" i="0" u="none" strike="noStrike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Calibri" panose="020F0502020204030204"/>
                </a:rPr>
                <a:t>Time, minutes</a:t>
              </a:r>
            </a:p>
          </cx:txPr>
        </cx:title>
        <cx:majorGridlines/>
        <cx:tickLabels/>
      </cx:axis>
    </cx:plotArea>
    <cx:legend pos="t" align="ctr" overlay="0"/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_xlchart.v1.0</cx:f>
      </cx:numDim>
    </cx:data>
  </cx:chartData>
  <cx:chart>
    <cx:title pos="t" align="ctr" overlay="0">
      <cx:tx>
        <cx:txData>
          <cx:v>Class B Long Jump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n-GB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/>
            </a:rPr>
            <a:t>Class B Long Jump</a:t>
          </a:r>
        </a:p>
      </cx:txPr>
    </cx:title>
    <cx:plotArea>
      <cx:plotAreaRegion>
        <cx:series layoutId="boxWhisker" uniqueId="{21F16B74-F0CE-BC4D-8EC8-F45585467488}">
          <cx:dataId val="0"/>
          <cx:layoutPr>
            <cx:visibility meanLine="0" meanMarker="0" nonoutliers="0" outliers="1"/>
            <cx:statistics quartileMethod="exclusive"/>
          </cx:layoutPr>
        </cx:series>
      </cx:plotAreaRegion>
      <cx:axis id="0">
        <cx:catScaling gapWidth="1.10000002"/>
        <cx:tickLabels/>
      </cx:axis>
      <cx:axis id="1">
        <cx:valScaling min="1"/>
        <cx:majorGridlines/>
        <cx:minorGridlines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40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25000"/>
            <a:lumOff val="7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25000"/>
            <a:lumOff val="7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25000"/>
            <a:lumOff val="7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dk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cap="all" spc="15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40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25000"/>
            <a:lumOff val="7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25000"/>
            <a:lumOff val="7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25000"/>
            <a:lumOff val="7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dk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cap="all" spc="15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dk1"/>
    </cs:fontRef>
  </cs:wall>
</cs:chartStyle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1.xml"/><Relationship Id="rId1" Type="http://schemas.microsoft.com/office/2014/relationships/chartEx" Target="../charts/chartEx1.xml"/><Relationship Id="rId5" Type="http://schemas.microsoft.com/office/2014/relationships/chartEx" Target="../charts/chartEx2.xml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7340600</xdr:colOff>
      <xdr:row>0</xdr:row>
      <xdr:rowOff>38100</xdr:rowOff>
    </xdr:from>
    <xdr:to>
      <xdr:col>0</xdr:col>
      <xdr:colOff>8013700</xdr:colOff>
      <xdr:row>1</xdr:row>
      <xdr:rowOff>228600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40600" y="38100"/>
          <a:ext cx="673100" cy="469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114300</xdr:colOff>
      <xdr:row>0</xdr:row>
      <xdr:rowOff>0</xdr:rowOff>
    </xdr:from>
    <xdr:to>
      <xdr:col>8</xdr:col>
      <xdr:colOff>787400</xdr:colOff>
      <xdr:row>1</xdr:row>
      <xdr:rowOff>203200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18300" y="0"/>
          <a:ext cx="673100" cy="46990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203200</xdr:colOff>
          <xdr:row>8</xdr:row>
          <xdr:rowOff>63500</xdr:rowOff>
        </xdr:from>
        <xdr:to>
          <xdr:col>9</xdr:col>
          <xdr:colOff>76200</xdr:colOff>
          <xdr:row>9</xdr:row>
          <xdr:rowOff>152400</xdr:rowOff>
        </xdr:to>
        <xdr:sp macro="" textlink="">
          <xdr:nvSpPr>
            <xdr:cNvPr id="2049" name="Button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GB" sz="1200" b="0" i="0" u="none" strike="noStrike" baseline="0">
                  <a:solidFill>
                    <a:srgbClr val="000000"/>
                  </a:solidFill>
                  <a:latin typeface="Calibri" pitchFamily="2" charset="0"/>
                  <a:cs typeface="Calibri" pitchFamily="2" charset="0"/>
                </a:rPr>
                <a:t>Button 1</a:t>
              </a:r>
            </a:p>
          </xdr:txBody>
        </xdr: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412750</xdr:colOff>
      <xdr:row>22</xdr:row>
      <xdr:rowOff>279400</xdr:rowOff>
    </xdr:from>
    <xdr:to>
      <xdr:col>18</xdr:col>
      <xdr:colOff>698500</xdr:colOff>
      <xdr:row>50</xdr:row>
      <xdr:rowOff>209550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4" name="Chart 3">
              <a:extLst>
                <a:ext uri="{FF2B5EF4-FFF2-40B4-BE49-F238E27FC236}">
                  <a16:creationId xmlns:a16="http://schemas.microsoft.com/office/drawing/2014/main" id="{00000000-0008-0000-0200-000004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4281150" y="5956300"/>
              <a:ext cx="1885950" cy="65976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GB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7</xdr:col>
      <xdr:colOff>38101</xdr:colOff>
      <xdr:row>76</xdr:row>
      <xdr:rowOff>31749</xdr:rowOff>
    </xdr:from>
    <xdr:to>
      <xdr:col>12</xdr:col>
      <xdr:colOff>573050</xdr:colOff>
      <xdr:row>81</xdr:row>
      <xdr:rowOff>247805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6</xdr:col>
      <xdr:colOff>469900</xdr:colOff>
      <xdr:row>0</xdr:row>
      <xdr:rowOff>0</xdr:rowOff>
    </xdr:from>
    <xdr:to>
      <xdr:col>6</xdr:col>
      <xdr:colOff>1143000</xdr:colOff>
      <xdr:row>1</xdr:row>
      <xdr:rowOff>25400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35700" y="0"/>
          <a:ext cx="673100" cy="469900"/>
        </a:xfrm>
        <a:prstGeom prst="rect">
          <a:avLst/>
        </a:prstGeom>
      </xdr:spPr>
    </xdr:pic>
    <xdr:clientData/>
  </xdr:twoCellAnchor>
  <xdr:twoCellAnchor editAs="oneCell">
    <xdr:from>
      <xdr:col>6</xdr:col>
      <xdr:colOff>551676</xdr:colOff>
      <xdr:row>123</xdr:row>
      <xdr:rowOff>214042</xdr:rowOff>
    </xdr:from>
    <xdr:to>
      <xdr:col>6</xdr:col>
      <xdr:colOff>1224776</xdr:colOff>
      <xdr:row>126</xdr:row>
      <xdr:rowOff>2624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75091" y="31421969"/>
          <a:ext cx="673100" cy="477334"/>
        </a:xfrm>
        <a:prstGeom prst="rect">
          <a:avLst/>
        </a:prstGeom>
      </xdr:spPr>
    </xdr:pic>
    <xdr:clientData/>
  </xdr:twoCellAnchor>
  <xdr:twoCellAnchor editAs="oneCell">
    <xdr:from>
      <xdr:col>6</xdr:col>
      <xdr:colOff>511098</xdr:colOff>
      <xdr:row>161</xdr:row>
      <xdr:rowOff>170365</xdr:rowOff>
    </xdr:from>
    <xdr:to>
      <xdr:col>6</xdr:col>
      <xdr:colOff>1184198</xdr:colOff>
      <xdr:row>163</xdr:row>
      <xdr:rowOff>179347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34513" y="41925487"/>
          <a:ext cx="673100" cy="473617"/>
        </a:xfrm>
        <a:prstGeom prst="rect">
          <a:avLst/>
        </a:prstGeom>
      </xdr:spPr>
    </xdr:pic>
    <xdr:clientData/>
  </xdr:twoCellAnchor>
  <xdr:twoCellAnchor editAs="oneCell">
    <xdr:from>
      <xdr:col>6</xdr:col>
      <xdr:colOff>449146</xdr:colOff>
      <xdr:row>194</xdr:row>
      <xdr:rowOff>278778</xdr:rowOff>
    </xdr:from>
    <xdr:to>
      <xdr:col>6</xdr:col>
      <xdr:colOff>1122246</xdr:colOff>
      <xdr:row>197</xdr:row>
      <xdr:rowOff>12697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72561" y="52751461"/>
          <a:ext cx="673100" cy="477334"/>
        </a:xfrm>
        <a:prstGeom prst="rect">
          <a:avLst/>
        </a:prstGeom>
      </xdr:spPr>
    </xdr:pic>
    <xdr:clientData/>
  </xdr:twoCellAnchor>
  <xdr:twoCellAnchor editAs="oneCell">
    <xdr:from>
      <xdr:col>6</xdr:col>
      <xdr:colOff>542073</xdr:colOff>
      <xdr:row>229</xdr:row>
      <xdr:rowOff>30975</xdr:rowOff>
    </xdr:from>
    <xdr:to>
      <xdr:col>6</xdr:col>
      <xdr:colOff>1215173</xdr:colOff>
      <xdr:row>229</xdr:row>
      <xdr:rowOff>500875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65488" y="63345121"/>
          <a:ext cx="673100" cy="469900"/>
        </a:xfrm>
        <a:prstGeom prst="rect">
          <a:avLst/>
        </a:prstGeom>
      </xdr:spPr>
    </xdr:pic>
    <xdr:clientData/>
  </xdr:twoCellAnchor>
  <xdr:twoCellAnchor editAs="oneCell">
    <xdr:from>
      <xdr:col>6</xdr:col>
      <xdr:colOff>449146</xdr:colOff>
      <xdr:row>255</xdr:row>
      <xdr:rowOff>247805</xdr:rowOff>
    </xdr:from>
    <xdr:to>
      <xdr:col>6</xdr:col>
      <xdr:colOff>1122246</xdr:colOff>
      <xdr:row>256</xdr:row>
      <xdr:rowOff>74651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72561" y="73799390"/>
          <a:ext cx="673100" cy="477334"/>
        </a:xfrm>
        <a:prstGeom prst="rect">
          <a:avLst/>
        </a:prstGeom>
      </xdr:spPr>
    </xdr:pic>
    <xdr:clientData/>
  </xdr:twoCellAnchor>
  <xdr:twoCellAnchor editAs="oneCell">
    <xdr:from>
      <xdr:col>6</xdr:col>
      <xdr:colOff>418170</xdr:colOff>
      <xdr:row>292</xdr:row>
      <xdr:rowOff>108415</xdr:rowOff>
    </xdr:from>
    <xdr:to>
      <xdr:col>6</xdr:col>
      <xdr:colOff>1091270</xdr:colOff>
      <xdr:row>294</xdr:row>
      <xdr:rowOff>121115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1585" y="84501464"/>
          <a:ext cx="673100" cy="477334"/>
        </a:xfrm>
        <a:prstGeom prst="rect">
          <a:avLst/>
        </a:prstGeom>
      </xdr:spPr>
    </xdr:pic>
    <xdr:clientData/>
  </xdr:twoCellAnchor>
  <xdr:twoCellAnchor>
    <xdr:from>
      <xdr:col>0</xdr:col>
      <xdr:colOff>190500</xdr:colOff>
      <xdr:row>84</xdr:row>
      <xdr:rowOff>95250</xdr:rowOff>
    </xdr:from>
    <xdr:to>
      <xdr:col>6</xdr:col>
      <xdr:colOff>901700</xdr:colOff>
      <xdr:row>104</xdr:row>
      <xdr:rowOff>38100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117099</xdr:colOff>
      <xdr:row>109</xdr:row>
      <xdr:rowOff>77437</xdr:rowOff>
    </xdr:from>
    <xdr:to>
      <xdr:col>2</xdr:col>
      <xdr:colOff>205057</xdr:colOff>
      <xdr:row>125</xdr:row>
      <xdr:rowOff>61949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0" name="Chart 19">
              <a:extLst>
                <a:ext uri="{FF2B5EF4-FFF2-40B4-BE49-F238E27FC236}">
                  <a16:creationId xmlns:a16="http://schemas.microsoft.com/office/drawing/2014/main" id="{00000000-0008-0000-0200-000014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5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17099" y="27738037"/>
              <a:ext cx="1599258" cy="3642112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GB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647700</xdr:colOff>
          <xdr:row>27</xdr:row>
          <xdr:rowOff>165100</xdr:rowOff>
        </xdr:from>
        <xdr:to>
          <xdr:col>6</xdr:col>
          <xdr:colOff>914400</xdr:colOff>
          <xdr:row>29</xdr:row>
          <xdr:rowOff>88900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2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GB" sz="1200" b="0" i="0" u="none" strike="noStrike" baseline="0">
                  <a:solidFill>
                    <a:srgbClr val="000000"/>
                  </a:solidFill>
                  <a:latin typeface="Calibri" pitchFamily="2" charset="0"/>
                  <a:cs typeface="Calibri" pitchFamily="2" charset="0"/>
                </a:rPr>
                <a:t>Button 1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25400</xdr:colOff>
          <xdr:row>55</xdr:row>
          <xdr:rowOff>0</xdr:rowOff>
        </xdr:from>
        <xdr:to>
          <xdr:col>6</xdr:col>
          <xdr:colOff>292100</xdr:colOff>
          <xdr:row>56</xdr:row>
          <xdr:rowOff>152400</xdr:rowOff>
        </xdr:to>
        <xdr:sp macro="" textlink="">
          <xdr:nvSpPr>
            <xdr:cNvPr id="3079" name="Button 7" hidden="1">
              <a:extLst>
                <a:ext uri="{63B3BB69-23CF-44E3-9099-C40C66FF867C}">
                  <a14:compatExt spid="_x0000_s3079"/>
                </a:ext>
                <a:ext uri="{FF2B5EF4-FFF2-40B4-BE49-F238E27FC236}">
                  <a16:creationId xmlns:a16="http://schemas.microsoft.com/office/drawing/2014/main" id="{00000000-0008-0000-0200-00000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GB" sz="1200" b="0" i="0" u="none" strike="noStrike" baseline="0">
                  <a:solidFill>
                    <a:srgbClr val="000000"/>
                  </a:solidFill>
                  <a:latin typeface="Calibri" pitchFamily="2" charset="0"/>
                  <a:cs typeface="Calibri" pitchFamily="2" charset="0"/>
                </a:rPr>
                <a:t>Button 7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139700</xdr:colOff>
          <xdr:row>78</xdr:row>
          <xdr:rowOff>165100</xdr:rowOff>
        </xdr:from>
        <xdr:to>
          <xdr:col>6</xdr:col>
          <xdr:colOff>406400</xdr:colOff>
          <xdr:row>79</xdr:row>
          <xdr:rowOff>190500</xdr:rowOff>
        </xdr:to>
        <xdr:sp macro="" textlink="">
          <xdr:nvSpPr>
            <xdr:cNvPr id="3081" name="Button 9" hidden="1">
              <a:extLst>
                <a:ext uri="{63B3BB69-23CF-44E3-9099-C40C66FF867C}">
                  <a14:compatExt spid="_x0000_s3081"/>
                </a:ext>
                <a:ext uri="{FF2B5EF4-FFF2-40B4-BE49-F238E27FC236}">
                  <a16:creationId xmlns:a16="http://schemas.microsoft.com/office/drawing/2014/main" id="{00000000-0008-0000-0200-00000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GB" sz="1200" b="0" i="0" u="none" strike="noStrike" baseline="0">
                  <a:solidFill>
                    <a:srgbClr val="000000"/>
                  </a:solidFill>
                  <a:latin typeface="Calibri" pitchFamily="2" charset="0"/>
                  <a:cs typeface="Calibri" pitchFamily="2" charset="0"/>
                </a:rPr>
                <a:t>Button 9</a:t>
              </a:r>
            </a:p>
          </xdr:txBody>
        </xdr:sp>
        <xdr:clientData fPrintsWithSheet="0"/>
      </xdr:twoCellAnchor>
    </mc:Choice>
    <mc:Fallback/>
  </mc:AlternateContent>
  <xdr:twoCellAnchor editAs="oneCell">
    <xdr:from>
      <xdr:col>6</xdr:col>
      <xdr:colOff>464634</xdr:colOff>
      <xdr:row>80</xdr:row>
      <xdr:rowOff>170366</xdr:rowOff>
    </xdr:from>
    <xdr:to>
      <xdr:col>6</xdr:col>
      <xdr:colOff>1137734</xdr:colOff>
      <xdr:row>81</xdr:row>
      <xdr:rowOff>291481</xdr:rowOff>
    </xdr:to>
    <xdr:pic>
      <xdr:nvPicPr>
        <xdr:cNvPr id="36" name="Picture 35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8049" y="20691707"/>
          <a:ext cx="673100" cy="477334"/>
        </a:xfrm>
        <a:prstGeom prst="rect">
          <a:avLst/>
        </a:prstGeom>
      </xdr:spPr>
    </xdr:pic>
    <xdr:clientData/>
  </xdr:twoCellAnchor>
  <xdr:twoCellAnchor editAs="oneCell">
    <xdr:from>
      <xdr:col>6</xdr:col>
      <xdr:colOff>402683</xdr:colOff>
      <xdr:row>40</xdr:row>
      <xdr:rowOff>92927</xdr:rowOff>
    </xdr:from>
    <xdr:to>
      <xdr:col>6</xdr:col>
      <xdr:colOff>1075783</xdr:colOff>
      <xdr:row>42</xdr:row>
      <xdr:rowOff>105627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6098" y="10129025"/>
          <a:ext cx="673100" cy="4773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Relationship Id="rId5" Type="http://schemas.openxmlformats.org/officeDocument/2006/relationships/ctrlProp" Target="../ctrlProps/ctrlProp4.xml"/><Relationship Id="rId4" Type="http://schemas.openxmlformats.org/officeDocument/2006/relationships/ctrlProp" Target="../ctrlProps/ctrlProp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CDB9B-8DC2-F046-84C9-0917A2035B87}">
  <sheetPr codeName="Sheet1"/>
  <dimension ref="A1:A16"/>
  <sheetViews>
    <sheetView tabSelected="1" workbookViewId="0">
      <selection activeCell="A9" sqref="A8:A9"/>
    </sheetView>
  </sheetViews>
  <sheetFormatPr baseColWidth="10" defaultRowHeight="21"/>
  <cols>
    <col min="1" max="1" width="105.6640625" style="82" customWidth="1"/>
    <col min="2" max="16384" width="10.83203125" style="83"/>
  </cols>
  <sheetData>
    <row r="1" spans="1:1" ht="22">
      <c r="A1" s="82" t="s">
        <v>134</v>
      </c>
    </row>
    <row r="3" spans="1:1" ht="22">
      <c r="A3" s="82" t="s">
        <v>135</v>
      </c>
    </row>
    <row r="4" spans="1:1" ht="28" customHeight="1">
      <c r="A4" s="82" t="s">
        <v>136</v>
      </c>
    </row>
    <row r="5" spans="1:1" ht="44">
      <c r="A5" s="82" t="s">
        <v>167</v>
      </c>
    </row>
    <row r="6" spans="1:1" ht="114" customHeight="1">
      <c r="A6" s="82" t="s">
        <v>168</v>
      </c>
    </row>
    <row r="9" spans="1:1" ht="22">
      <c r="A9" s="82" t="s">
        <v>137</v>
      </c>
    </row>
    <row r="10" spans="1:1" ht="66">
      <c r="A10" s="82" t="s">
        <v>164</v>
      </c>
    </row>
    <row r="12" spans="1:1" ht="22">
      <c r="A12" s="82" t="s">
        <v>138</v>
      </c>
    </row>
    <row r="13" spans="1:1" ht="22">
      <c r="A13" s="82" t="s">
        <v>139</v>
      </c>
    </row>
    <row r="15" spans="1:1" ht="22">
      <c r="A15" s="82" t="s">
        <v>140</v>
      </c>
    </row>
    <row r="16" spans="1:1" ht="22">
      <c r="A16" s="82" t="s">
        <v>141</v>
      </c>
    </row>
  </sheetData>
  <pageMargins left="0.7" right="0.7" top="0.75" bottom="0.75" header="0.3" footer="0.3"/>
  <pageSetup paperSize="9"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ABE5D-8612-174B-9070-3DA6535686E7}">
  <sheetPr codeName="Sheet2"/>
  <dimension ref="A1:G11"/>
  <sheetViews>
    <sheetView zoomScaleNormal="100" workbookViewId="0">
      <selection activeCell="G12" sqref="G12"/>
    </sheetView>
  </sheetViews>
  <sheetFormatPr baseColWidth="10" defaultRowHeight="21"/>
  <cols>
    <col min="1" max="16384" width="10.83203125" style="83"/>
  </cols>
  <sheetData>
    <row r="1" spans="1:7">
      <c r="A1" s="83" t="s">
        <v>128</v>
      </c>
    </row>
    <row r="3" spans="1:7">
      <c r="A3" s="83" t="s">
        <v>165</v>
      </c>
    </row>
    <row r="4" spans="1:7">
      <c r="A4" s="83" t="s">
        <v>129</v>
      </c>
      <c r="G4" s="84"/>
    </row>
    <row r="5" spans="1:7">
      <c r="A5" s="83" t="s">
        <v>130</v>
      </c>
    </row>
    <row r="6" spans="1:7">
      <c r="A6" s="83" t="s">
        <v>132</v>
      </c>
      <c r="G6" s="85"/>
    </row>
    <row r="7" spans="1:7">
      <c r="A7" s="83" t="s">
        <v>133</v>
      </c>
    </row>
    <row r="8" spans="1:7">
      <c r="A8" s="83" t="s">
        <v>166</v>
      </c>
    </row>
    <row r="10" spans="1:7">
      <c r="A10" s="83" t="s">
        <v>131</v>
      </c>
    </row>
    <row r="11" spans="1:7">
      <c r="A11" s="83" t="s">
        <v>158</v>
      </c>
    </row>
  </sheetData>
  <pageMargins left="0.7" right="0.7" top="0.75" bottom="0.75" header="0.3" footer="0.3"/>
  <pageSetup paperSize="9" orientation="portrait" horizontalDpi="0" verticalDpi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3" name="Button 1">
              <controlPr defaultSize="0" print="0" autoFill="0" autoPict="0" macro="[0]!Button1_Click">
                <anchor moveWithCells="1" sizeWithCells="1">
                  <from>
                    <xdr:col>7</xdr:col>
                    <xdr:colOff>203200</xdr:colOff>
                    <xdr:row>8</xdr:row>
                    <xdr:rowOff>63500</xdr:rowOff>
                  </from>
                  <to>
                    <xdr:col>9</xdr:col>
                    <xdr:colOff>76200</xdr:colOff>
                    <xdr:row>9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9DBE9-D6F9-4048-B018-24CAA414E740}">
  <sheetPr codeName="Sheet3"/>
  <dimension ref="A1:AT273"/>
  <sheetViews>
    <sheetView showGridLines="0" view="pageLayout" topLeftCell="D1" zoomScaleNormal="100" workbookViewId="0">
      <selection activeCell="I139" sqref="I139"/>
    </sheetView>
  </sheetViews>
  <sheetFormatPr baseColWidth="10" defaultRowHeight="18"/>
  <cols>
    <col min="1" max="1" width="9" style="2" customWidth="1"/>
    <col min="2" max="2" width="10.83203125" style="2"/>
    <col min="3" max="3" width="12" style="2" customWidth="1"/>
    <col min="4" max="4" width="11.33203125" style="2" customWidth="1"/>
    <col min="5" max="5" width="16.83203125" style="2" customWidth="1"/>
    <col min="6" max="6" width="16.5" style="2" customWidth="1"/>
    <col min="7" max="7" width="16.5" style="37" customWidth="1"/>
    <col min="8" max="8" width="10.83203125" style="2"/>
    <col min="9" max="9" width="9.33203125" style="86" customWidth="1"/>
    <col min="10" max="10" width="9.5" style="86" customWidth="1"/>
    <col min="11" max="11" width="13.5" style="86" customWidth="1"/>
    <col min="12" max="12" width="9.5" style="86" customWidth="1"/>
    <col min="13" max="13" width="9.83203125" style="86" customWidth="1"/>
    <col min="14" max="14" width="12.1640625" style="86" customWidth="1"/>
    <col min="15" max="15" width="14.33203125" style="86" customWidth="1"/>
    <col min="16" max="16" width="9.1640625" style="2" customWidth="1"/>
    <col min="17" max="17" width="6.5" style="2" customWidth="1"/>
    <col min="18" max="18" width="8.1640625" style="2" customWidth="1"/>
    <col min="19" max="19" width="6.33203125" style="2" customWidth="1"/>
    <col min="20" max="16384" width="10.83203125" style="2"/>
  </cols>
  <sheetData>
    <row r="1" spans="1:12" ht="35">
      <c r="B1" s="79" t="s">
        <v>0</v>
      </c>
      <c r="C1" s="79"/>
      <c r="D1" s="79"/>
      <c r="E1" s="79"/>
      <c r="F1" s="79"/>
      <c r="G1" s="40"/>
    </row>
    <row r="3" spans="1:12">
      <c r="A3" s="71" t="s">
        <v>1</v>
      </c>
      <c r="B3" s="71"/>
      <c r="C3" s="71"/>
    </row>
    <row r="5" spans="1:12">
      <c r="A5" s="4">
        <f ca="1">MROUND(RANDBETWEEN(20,40),5)</f>
        <v>25</v>
      </c>
      <c r="B5" s="5" t="s">
        <v>2</v>
      </c>
      <c r="C5" s="5" t="s">
        <v>3</v>
      </c>
      <c r="D5" s="5" t="s">
        <v>4</v>
      </c>
      <c r="E5" s="5" t="s">
        <v>5</v>
      </c>
      <c r="H5"/>
      <c r="I5" s="87" t="s">
        <v>2</v>
      </c>
      <c r="J5" s="87" t="s">
        <v>3</v>
      </c>
      <c r="K5" s="87" t="s">
        <v>4</v>
      </c>
      <c r="L5" s="87" t="s">
        <v>5</v>
      </c>
    </row>
    <row r="6" spans="1:12">
      <c r="A6" s="6" t="s">
        <v>6</v>
      </c>
      <c r="B6" s="5">
        <f ca="1">RANDBETWEEN(25,35)</f>
        <v>31</v>
      </c>
      <c r="C6" s="5">
        <f ca="1">RANDBETWEEN(25,35)</f>
        <v>27</v>
      </c>
      <c r="D6" s="5">
        <f ca="1">RANDBETWEEN(25,35)</f>
        <v>27</v>
      </c>
      <c r="E6" s="5">
        <f ca="1">SUM(B6:D6)</f>
        <v>85</v>
      </c>
      <c r="H6" t="s">
        <v>6</v>
      </c>
      <c r="I6" s="88">
        <f t="shared" ref="I6:K7" ca="1" si="0">MROUND(B6/total*sample,1)</f>
        <v>4</v>
      </c>
      <c r="J6" s="88">
        <f t="shared" ca="1" si="0"/>
        <v>3</v>
      </c>
      <c r="K6" s="88">
        <f t="shared" ca="1" si="0"/>
        <v>3</v>
      </c>
      <c r="L6" s="87"/>
    </row>
    <row r="7" spans="1:12">
      <c r="A7" s="6" t="s">
        <v>7</v>
      </c>
      <c r="B7" s="5">
        <f ca="1">RANDBETWEEN(60, 70)-B6</f>
        <v>32</v>
      </c>
      <c r="C7" s="5">
        <f ca="1">RANDBETWEEN(60, 70)-C6</f>
        <v>39</v>
      </c>
      <c r="D7" s="5">
        <f ca="1">RANDBETWEEN(60, 70)-D6</f>
        <v>38</v>
      </c>
      <c r="E7" s="5">
        <f ca="1">SUM(B7:D7)</f>
        <v>109</v>
      </c>
      <c r="H7" t="s">
        <v>7</v>
      </c>
      <c r="I7" s="88">
        <f t="shared" ca="1" si="0"/>
        <v>4</v>
      </c>
      <c r="J7" s="88">
        <f t="shared" ca="1" si="0"/>
        <v>5</v>
      </c>
      <c r="K7" s="88">
        <f t="shared" ca="1" si="0"/>
        <v>5</v>
      </c>
      <c r="L7" s="87"/>
    </row>
    <row r="8" spans="1:12">
      <c r="A8" s="6" t="s">
        <v>5</v>
      </c>
      <c r="B8" s="5">
        <f ca="1">SUM(B6:B7)</f>
        <v>63</v>
      </c>
      <c r="C8" s="5">
        <f ca="1">SUM(C6:C7)</f>
        <v>66</v>
      </c>
      <c r="D8" s="5">
        <f ca="1">SUM(D6:D7)</f>
        <v>65</v>
      </c>
      <c r="E8" s="5">
        <f ca="1">SUM(B8:D8)</f>
        <v>194</v>
      </c>
      <c r="H8"/>
      <c r="I8" s="87"/>
      <c r="J8" s="87"/>
      <c r="K8" s="87"/>
      <c r="L8" s="88">
        <f ca="1">SUM(I6:K7)</f>
        <v>24</v>
      </c>
    </row>
    <row r="9" spans="1:12">
      <c r="H9" t="s">
        <v>5</v>
      </c>
      <c r="I9" s="87"/>
      <c r="J9" s="87"/>
      <c r="K9" s="87"/>
      <c r="L9" s="87"/>
    </row>
    <row r="10" spans="1:12" ht="30" customHeight="1">
      <c r="A10" s="69" t="str">
        <f ca="1">"A sample of "&amp;sample&amp;" students is required.  
How many "&amp;CHOOSE(RANDBETWEEN(1,3),"Year 7","Year 8","Year 9")&amp;CHOOSE(RANDBETWEEN(1,2)," males"," females")&amp;" are required for the sample?"</f>
        <v>A sample of 25 students is required.  
How many Year 8 males are required for the sample?</v>
      </c>
      <c r="B10" s="69"/>
      <c r="C10" s="69"/>
      <c r="D10" s="69"/>
      <c r="E10" s="69"/>
      <c r="G10" s="9"/>
      <c r="I10" s="86" t="str">
        <f ca="1">CHOOSE(RANDBETWEEN(1,3),"Year 7","Year 8","Year 9")&amp;CHOOSE(RANDBETWEEN(1,2)," males"," females")</f>
        <v>Year 8 males</v>
      </c>
      <c r="K10" s="89">
        <f ca="1">IF(I10="Year 8 females",J7,IF(I10="Year 7 females",I7,IF(I10="Year 9 females",K7,IF(I10="Year 7 males",I6,IF(I10="Year 8 males",J6,IF(I10="Year 9 males",K6))))))</f>
        <v>3</v>
      </c>
    </row>
    <row r="12" spans="1:12">
      <c r="A12" s="1" t="s">
        <v>8</v>
      </c>
    </row>
    <row r="13" spans="1:12">
      <c r="A13" s="1" t="s">
        <v>9</v>
      </c>
    </row>
    <row r="14" spans="1:12">
      <c r="A14" s="1"/>
    </row>
    <row r="15" spans="1:12">
      <c r="A15" s="71" t="s">
        <v>10</v>
      </c>
      <c r="B15" s="71"/>
      <c r="C15" s="2" t="s">
        <v>21</v>
      </c>
    </row>
    <row r="17" spans="1:18" ht="33" customHeight="1">
      <c r="A17" s="68" t="s">
        <v>11</v>
      </c>
      <c r="B17" s="68"/>
      <c r="C17" s="68"/>
      <c r="D17" s="68"/>
      <c r="E17" s="68"/>
      <c r="F17" s="68"/>
      <c r="G17" s="68"/>
    </row>
    <row r="19" spans="1:18">
      <c r="A19" s="10">
        <f t="shared" ref="A19:F20" ca="1" si="1">RANDBETWEEN(1, 30)</f>
        <v>19</v>
      </c>
      <c r="B19" s="10">
        <f t="shared" ca="1" si="1"/>
        <v>28</v>
      </c>
      <c r="C19" s="10">
        <f t="shared" ca="1" si="1"/>
        <v>14</v>
      </c>
      <c r="D19" s="10">
        <f t="shared" ca="1" si="1"/>
        <v>30</v>
      </c>
      <c r="E19" s="10">
        <f t="shared" ca="1" si="1"/>
        <v>9</v>
      </c>
      <c r="F19" s="10">
        <f t="shared" ca="1" si="1"/>
        <v>9</v>
      </c>
      <c r="H19" s="2" t="s">
        <v>14</v>
      </c>
      <c r="I19" s="89">
        <f ca="1">MEDIAN(A19:F20)</f>
        <v>19</v>
      </c>
      <c r="J19" s="86" t="s">
        <v>28</v>
      </c>
      <c r="K19" s="86">
        <f ca="1">QUARTILE(A19:F20,3)</f>
        <v>28.5</v>
      </c>
    </row>
    <row r="20" spans="1:18">
      <c r="A20" s="10">
        <f t="shared" ca="1" si="1"/>
        <v>29</v>
      </c>
      <c r="B20" s="10">
        <f t="shared" ca="1" si="1"/>
        <v>13</v>
      </c>
      <c r="C20" s="10">
        <f t="shared" ca="1" si="1"/>
        <v>15</v>
      </c>
      <c r="D20" s="10">
        <f t="shared" ca="1" si="1"/>
        <v>19</v>
      </c>
      <c r="E20" s="10">
        <f t="shared" ca="1" si="1"/>
        <v>29</v>
      </c>
      <c r="F20" s="11"/>
      <c r="H20" s="2" t="s">
        <v>15</v>
      </c>
      <c r="I20" s="89">
        <f ca="1">K19-K20</f>
        <v>15</v>
      </c>
      <c r="J20" s="86" t="s">
        <v>29</v>
      </c>
      <c r="K20" s="86">
        <f ca="1">QUARTILE(A19:F20,1)</f>
        <v>13.5</v>
      </c>
    </row>
    <row r="22" spans="1:18" s="8" customFormat="1" ht="25" customHeight="1">
      <c r="A22" s="13" t="s">
        <v>12</v>
      </c>
      <c r="B22" s="13"/>
      <c r="C22" s="13"/>
      <c r="D22" s="13"/>
      <c r="E22" s="13"/>
      <c r="G22" s="9"/>
      <c r="H22" s="8">
        <f>P28</f>
        <v>0</v>
      </c>
      <c r="I22" s="90">
        <f t="shared" ref="I22:M22" ca="1" si="2">B19</f>
        <v>28</v>
      </c>
      <c r="J22" s="90">
        <f t="shared" ca="1" si="2"/>
        <v>14</v>
      </c>
      <c r="K22" s="90">
        <f t="shared" ca="1" si="2"/>
        <v>30</v>
      </c>
      <c r="L22" s="90">
        <f t="shared" ca="1" si="2"/>
        <v>9</v>
      </c>
      <c r="M22" s="90">
        <f t="shared" ca="1" si="2"/>
        <v>9</v>
      </c>
      <c r="N22" s="90">
        <f ca="1">A20</f>
        <v>29</v>
      </c>
      <c r="O22" s="90">
        <f ca="1">B20</f>
        <v>13</v>
      </c>
      <c r="P22" s="8">
        <f ca="1">C20</f>
        <v>15</v>
      </c>
      <c r="Q22" s="8">
        <f ca="1">D20</f>
        <v>19</v>
      </c>
      <c r="R22" s="8">
        <f ca="1">E20</f>
        <v>29</v>
      </c>
    </row>
    <row r="23" spans="1:18" s="8" customFormat="1" ht="25" customHeight="1">
      <c r="A23" s="13" t="s">
        <v>13</v>
      </c>
      <c r="B23" s="13"/>
      <c r="C23" s="13"/>
      <c r="D23" s="13"/>
      <c r="E23" s="13"/>
      <c r="G23" s="9"/>
      <c r="I23" s="90"/>
      <c r="J23" s="90"/>
      <c r="K23" s="90"/>
      <c r="L23" s="90"/>
      <c r="M23" s="90"/>
      <c r="N23" s="90"/>
      <c r="O23" s="90"/>
    </row>
    <row r="24" spans="1:18">
      <c r="A24" s="1" t="s">
        <v>16</v>
      </c>
      <c r="B24" s="1"/>
      <c r="C24" s="1"/>
      <c r="D24" s="1"/>
      <c r="E24" s="1"/>
    </row>
    <row r="25" spans="1:18">
      <c r="A25" s="1"/>
      <c r="B25" s="1"/>
      <c r="C25" s="1"/>
      <c r="D25" s="1"/>
      <c r="E25" s="1"/>
      <c r="F25" s="80" t="s">
        <v>155</v>
      </c>
      <c r="G25" s="80"/>
    </row>
    <row r="26" spans="1:18">
      <c r="A26" s="1"/>
      <c r="B26" s="1"/>
      <c r="C26" s="1"/>
      <c r="D26" s="1"/>
      <c r="E26" s="1"/>
      <c r="F26" s="80"/>
      <c r="G26" s="80"/>
    </row>
    <row r="27" spans="1:18">
      <c r="A27" s="1"/>
      <c r="B27" s="1"/>
      <c r="C27" s="1"/>
      <c r="D27" s="1"/>
      <c r="E27" s="1"/>
      <c r="F27" s="80"/>
      <c r="G27" s="80"/>
    </row>
    <row r="28" spans="1:18">
      <c r="A28" s="1"/>
      <c r="B28" s="1"/>
      <c r="C28" s="1"/>
      <c r="D28" s="1"/>
      <c r="E28" s="1"/>
    </row>
    <row r="29" spans="1:18">
      <c r="A29" s="1"/>
      <c r="B29" s="1"/>
      <c r="C29" s="1"/>
      <c r="D29" s="1"/>
      <c r="E29" s="1"/>
    </row>
    <row r="30" spans="1:18">
      <c r="A30" s="1"/>
      <c r="B30" s="1"/>
      <c r="C30" s="1"/>
      <c r="D30" s="1"/>
      <c r="E30" s="1"/>
    </row>
    <row r="31" spans="1:18">
      <c r="A31" s="1"/>
      <c r="B31" s="1"/>
      <c r="C31" s="1"/>
      <c r="D31" s="1"/>
      <c r="E31" s="1"/>
    </row>
    <row r="32" spans="1:18">
      <c r="A32" s="1"/>
      <c r="B32" s="1"/>
      <c r="C32" s="1"/>
      <c r="D32" s="1"/>
      <c r="E32" s="1"/>
    </row>
    <row r="33" spans="1:14">
      <c r="A33" s="1"/>
      <c r="B33" s="1"/>
      <c r="C33" s="1"/>
      <c r="D33" s="1"/>
      <c r="E33" s="1"/>
    </row>
    <row r="34" spans="1:14">
      <c r="A34" s="1"/>
      <c r="B34" s="1"/>
      <c r="C34" s="1"/>
      <c r="D34" s="1"/>
      <c r="E34" s="1"/>
    </row>
    <row r="35" spans="1:14">
      <c r="A35" s="1"/>
      <c r="B35" s="1"/>
      <c r="C35" s="1"/>
      <c r="D35" s="1"/>
      <c r="E35" s="1"/>
    </row>
    <row r="36" spans="1:14">
      <c r="A36" s="1"/>
      <c r="B36" s="1"/>
      <c r="C36" s="1"/>
      <c r="D36" s="1"/>
      <c r="E36" s="1"/>
    </row>
    <row r="37" spans="1:14">
      <c r="A37" s="1"/>
      <c r="B37" s="1"/>
      <c r="C37" s="1"/>
      <c r="D37" s="1"/>
      <c r="E37" s="1"/>
    </row>
    <row r="38" spans="1:14">
      <c r="A38" s="1" t="s">
        <v>17</v>
      </c>
      <c r="B38" s="1"/>
      <c r="C38" s="1"/>
      <c r="D38" s="1"/>
      <c r="E38" s="1"/>
      <c r="I38" s="91">
        <f t="shared" ref="I38:N39" ca="1" si="3">RANDBETWEEN(1, 30)</f>
        <v>17</v>
      </c>
      <c r="J38" s="91">
        <f t="shared" ca="1" si="3"/>
        <v>19</v>
      </c>
      <c r="K38" s="91">
        <f t="shared" ca="1" si="3"/>
        <v>24</v>
      </c>
      <c r="L38" s="91">
        <f t="shared" ca="1" si="3"/>
        <v>14</v>
      </c>
      <c r="M38" s="91">
        <f t="shared" ca="1" si="3"/>
        <v>11</v>
      </c>
      <c r="N38" s="91">
        <f t="shared" ca="1" si="3"/>
        <v>26</v>
      </c>
    </row>
    <row r="39" spans="1:14">
      <c r="A39" s="78" t="s">
        <v>18</v>
      </c>
      <c r="B39" s="78"/>
      <c r="C39" s="12">
        <f ca="1">MEDIAN(I38:N39)</f>
        <v>19</v>
      </c>
      <c r="D39" s="14" t="s">
        <v>19</v>
      </c>
      <c r="E39" s="12">
        <f ca="1">QUARTILE(I38:N39,3)-QUARTILE(I38:N39,1)</f>
        <v>9</v>
      </c>
      <c r="I39" s="91">
        <f t="shared" ca="1" si="3"/>
        <v>19</v>
      </c>
      <c r="J39" s="91">
        <f t="shared" ca="1" si="3"/>
        <v>19</v>
      </c>
      <c r="K39" s="91">
        <f t="shared" ca="1" si="3"/>
        <v>30</v>
      </c>
      <c r="L39" s="91">
        <f t="shared" ca="1" si="3"/>
        <v>1</v>
      </c>
      <c r="M39" s="91">
        <f t="shared" ca="1" si="3"/>
        <v>10</v>
      </c>
      <c r="N39" s="87"/>
    </row>
    <row r="40" spans="1:14">
      <c r="A40" s="1" t="s">
        <v>20</v>
      </c>
    </row>
    <row r="44" spans="1:14">
      <c r="A44" s="1" t="s">
        <v>25</v>
      </c>
      <c r="B44" s="1"/>
    </row>
    <row r="45" spans="1:14">
      <c r="A45" s="61">
        <f t="shared" ref="A45:E47" ca="1" si="4">RANDBETWEEN(1, 35)/10</f>
        <v>2.2000000000000002</v>
      </c>
      <c r="B45" s="61">
        <f t="shared" ca="1" si="4"/>
        <v>2.1</v>
      </c>
      <c r="C45" s="61">
        <f t="shared" ca="1" si="4"/>
        <v>3.1</v>
      </c>
      <c r="D45" s="61">
        <f t="shared" ca="1" si="4"/>
        <v>3.5</v>
      </c>
      <c r="E45" s="61">
        <f t="shared" ca="1" si="4"/>
        <v>0.7</v>
      </c>
      <c r="H45" s="2" t="s">
        <v>14</v>
      </c>
      <c r="I45" s="89">
        <f ca="1">MEDIAN(A45:E47)</f>
        <v>2.2000000000000002</v>
      </c>
      <c r="M45" s="86" t="s">
        <v>30</v>
      </c>
      <c r="N45" s="86">
        <f ca="1">MIN(A45:E47)</f>
        <v>0.7</v>
      </c>
    </row>
    <row r="46" spans="1:14">
      <c r="A46" s="61">
        <f t="shared" ca="1" si="4"/>
        <v>3.1</v>
      </c>
      <c r="B46" s="61">
        <f t="shared" ca="1" si="4"/>
        <v>3.5</v>
      </c>
      <c r="C46" s="61">
        <f t="shared" ca="1" si="4"/>
        <v>2.4</v>
      </c>
      <c r="D46" s="61">
        <f t="shared" ca="1" si="4"/>
        <v>2.2000000000000002</v>
      </c>
      <c r="E46" s="61">
        <f t="shared" ca="1" si="4"/>
        <v>2.1</v>
      </c>
      <c r="H46" s="2" t="s">
        <v>15</v>
      </c>
      <c r="I46" s="89">
        <f ca="1">QUARTILE(A45:E47,3)-QUARTILE(A45:E47,1)</f>
        <v>1.6</v>
      </c>
      <c r="M46" s="86" t="s">
        <v>31</v>
      </c>
      <c r="N46" s="86">
        <f ca="1">MAX(A45:E47)</f>
        <v>3.5</v>
      </c>
    </row>
    <row r="47" spans="1:14">
      <c r="A47" s="61">
        <f t="shared" ca="1" si="4"/>
        <v>1.5</v>
      </c>
      <c r="B47" s="61">
        <f t="shared" ca="1" si="4"/>
        <v>1.2</v>
      </c>
      <c r="C47" s="61">
        <f ca="1">RANDBETWEEN(1, 35)/10</f>
        <v>1</v>
      </c>
      <c r="D47" s="62"/>
      <c r="E47" s="62"/>
    </row>
    <row r="48" spans="1:14">
      <c r="A48" s="1"/>
      <c r="B48" s="1"/>
      <c r="I48" s="92">
        <f ca="1">RANDBETWEEN(1, 60)/10</f>
        <v>1.1000000000000001</v>
      </c>
      <c r="J48" s="92">
        <f t="shared" ref="J48:M50" ca="1" si="5">RANDBETWEEN(1, 60)/10</f>
        <v>4</v>
      </c>
      <c r="K48" s="92">
        <f t="shared" ca="1" si="5"/>
        <v>5</v>
      </c>
      <c r="L48" s="92">
        <f t="shared" ca="1" si="5"/>
        <v>2.7</v>
      </c>
      <c r="M48" s="92">
        <f t="shared" ca="1" si="5"/>
        <v>5.8</v>
      </c>
    </row>
    <row r="49" spans="1:15" ht="25" customHeight="1">
      <c r="A49" s="13" t="s">
        <v>26</v>
      </c>
      <c r="B49" s="1"/>
      <c r="G49" s="9"/>
      <c r="I49" s="92">
        <f ca="1">RANDBETWEEN(1, 60)/10</f>
        <v>4.9000000000000004</v>
      </c>
      <c r="J49" s="92">
        <f t="shared" ca="1" si="5"/>
        <v>1.8</v>
      </c>
      <c r="K49" s="92">
        <f t="shared" ca="1" si="5"/>
        <v>3.6</v>
      </c>
      <c r="L49" s="92">
        <f t="shared" ca="1" si="5"/>
        <v>4.0999999999999996</v>
      </c>
      <c r="M49" s="92">
        <f t="shared" ca="1" si="5"/>
        <v>4</v>
      </c>
    </row>
    <row r="50" spans="1:15" ht="25" customHeight="1">
      <c r="A50" s="13" t="s">
        <v>27</v>
      </c>
      <c r="B50" s="1"/>
      <c r="G50" s="9"/>
      <c r="I50" s="92">
        <f ca="1">RANDBETWEEN(1, 60)/10</f>
        <v>1.8</v>
      </c>
      <c r="J50" s="92">
        <f t="shared" ca="1" si="5"/>
        <v>2.2999999999999998</v>
      </c>
      <c r="K50" s="92">
        <f t="shared" ca="1" si="5"/>
        <v>1.2</v>
      </c>
      <c r="L50" s="87"/>
      <c r="M50" s="87"/>
    </row>
    <row r="51" spans="1:15">
      <c r="A51" s="1" t="s">
        <v>156</v>
      </c>
      <c r="B51" s="1"/>
    </row>
    <row r="52" spans="1:15">
      <c r="A52" s="1"/>
      <c r="B52" s="1"/>
      <c r="F52" s="80" t="s">
        <v>157</v>
      </c>
      <c r="G52" s="80"/>
    </row>
    <row r="53" spans="1:15">
      <c r="A53" s="1"/>
      <c r="B53" s="59"/>
      <c r="C53" s="60"/>
      <c r="F53" s="80"/>
      <c r="G53" s="80"/>
    </row>
    <row r="54" spans="1:15">
      <c r="A54" s="1"/>
      <c r="B54" s="59"/>
      <c r="C54" s="60"/>
      <c r="F54" s="80"/>
      <c r="G54" s="80"/>
    </row>
    <row r="55" spans="1:15">
      <c r="A55" s="1"/>
      <c r="B55" s="59"/>
      <c r="C55" s="60"/>
    </row>
    <row r="56" spans="1:15">
      <c r="A56" s="1"/>
      <c r="B56" s="59"/>
      <c r="C56" s="60"/>
    </row>
    <row r="57" spans="1:15">
      <c r="A57" s="1"/>
      <c r="B57" s="1"/>
      <c r="C57" s="58"/>
      <c r="D57" s="12"/>
    </row>
    <row r="58" spans="1:15">
      <c r="A58" s="1"/>
      <c r="B58" s="1"/>
      <c r="C58" s="63"/>
      <c r="D58" s="12"/>
    </row>
    <row r="59" spans="1:15">
      <c r="A59" s="1"/>
      <c r="B59" s="1"/>
      <c r="D59" s="1"/>
      <c r="J59" s="89">
        <v>0</v>
      </c>
      <c r="K59" s="89" t="str">
        <f ca="1">REPT("0 ",COUNTIF(A45:E47,J59+0))&amp;REPT(" 1 ",COUNTIF(A45:E47,J59+0.1))&amp;REPT(" 2 ",COUNTIF(A45:E47,J59+0.2))&amp;REPT(" 3 ",COUNTIF(A45:E47,J59+0.3))&amp;REPT(" 4 ",COUNTIF(A45:E47,J59+0.4))&amp;REPT(" 5 ",COUNTIF(A45:E47,J59+0.5))&amp;REPT(" 6 ",COUNTIF(A45:E47,J59+0.6))&amp;REPT(" 7 ",COUNTIF(A45:E47,J59+0.7))&amp;REPT(" 8 ",COUNTIF(A45:E47,J59+0.8))&amp;REPT(" 9 ",COUNTIF(A45:E47,J59+0.9))</f>
        <v xml:space="preserve"> 7 </v>
      </c>
      <c r="L59" s="89"/>
      <c r="N59" s="86">
        <v>0</v>
      </c>
      <c r="O59" s="93">
        <v>2</v>
      </c>
    </row>
    <row r="60" spans="1:15">
      <c r="A60" s="1" t="s">
        <v>22</v>
      </c>
      <c r="B60" s="1"/>
      <c r="J60" s="89">
        <v>1</v>
      </c>
      <c r="K60" s="89" t="str">
        <f ca="1">REPT(" 0 ",COUNTIF(A45:E47,J60+0))&amp;REPT(" 1 ",COUNTIF(A45:E47,J60+0.1))&amp;REPT(" 2 ",COUNTIF(A45:E47,J60+0.2))&amp;REPT(" 3 ",COUNTIF(A45:E47,J60+0.3))&amp;REPT(" 4 ",COUNTIF(A45:E47,J60+0.4))&amp;REPT(" 5 ",COUNTIF(A45:E47,J60+0.5))&amp;REPT(" 6 ",COUNTIF(A45:E47,J60+0.6))&amp;REPT(" 7 ",COUNTIF(A45:E47,J60+0.7))&amp;REPT(" 8 ",COUNTIF(A45:E47,J60+0.8))&amp;REPT(" 9 ",COUNTIF(A45:E47,J60+0.9))</f>
        <v xml:space="preserve"> 0  2  5 </v>
      </c>
      <c r="L60" s="89"/>
      <c r="O60" s="86" t="s">
        <v>32</v>
      </c>
    </row>
    <row r="61" spans="1:15">
      <c r="A61" s="78" t="s">
        <v>23</v>
      </c>
      <c r="B61" s="78"/>
      <c r="C61" s="12">
        <f ca="1">MEDIAN(I48:M50)</f>
        <v>3.6</v>
      </c>
      <c r="D61" s="15" t="s">
        <v>19</v>
      </c>
      <c r="E61" s="16">
        <f ca="1">QUARTILE(I48:M50,3)-QUARTILE(I48:M50,1)</f>
        <v>2.2999999999999998</v>
      </c>
      <c r="J61" s="89">
        <v>2</v>
      </c>
      <c r="K61" s="89" t="str">
        <f ca="1">REPT(" 0 ",COUNTIF(A45:E47,J61+0))&amp;REPT(" 1 ",COUNTIF(A45:E47,J61+0.1))&amp;REPT(" 2 ",COUNTIF(A45:E47,J61+0.2))&amp;REPT(" 3 ",COUNTIF(A45:E47,J61+0.3))&amp;REPT(" 4 ",COUNTIF(A45:E47,J61+0.4))&amp;REPT(" 5 ",COUNTIF(A45:E47,J61+0.5))&amp;REPT(" 6 ",COUNTIF(A45:E47,J61+0.6))&amp;REPT(" 7 ",COUNTIF(A45:E47,J61+0.7))&amp;REPT(" 8 ",COUNTIF(A45:E47,J61+0.8))&amp;REPT(" 9 ",COUNTIF(A45:E47,J61+0.9))</f>
        <v xml:space="preserve"> 1  1  2  2  4 </v>
      </c>
      <c r="L61" s="89"/>
    </row>
    <row r="62" spans="1:15">
      <c r="A62" s="1" t="s">
        <v>24</v>
      </c>
      <c r="B62" s="1"/>
      <c r="J62" s="89">
        <v>3</v>
      </c>
      <c r="K62" s="89" t="str">
        <f ca="1">REPT(" 0 ",COUNTIF(A45:E47,J62+0))&amp;REPT(" 1 ",COUNTIF(A45:E47,J62+0.1))&amp;REPT(" 2 ",COUNTIF(A45:E47,J62+0.2))&amp;REPT(" 3 ",COUNTIF(A45:E47,J62+0.3))&amp;REPT(" 4 ",COUNTIF(A45:E47,J62+0.4))&amp;REPT(" 5 ",COUNTIF(A45:E47,J62+0.5))&amp;REPT(" 6 ",COUNTIF(A45:E47,J62+0.6))&amp;REPT(" 7 ",COUNTIF(A45:E47,J62+0.7))&amp;REPT(" 8 ",COUNTIF(A45:E47,J62+0.8))&amp;REPT(" 9 ",COUNTIF(A45:E47,J62+0.9))</f>
        <v xml:space="preserve"> 1  1  5  5 </v>
      </c>
      <c r="L62" s="89"/>
    </row>
    <row r="64" spans="1:15">
      <c r="A64" s="71" t="s">
        <v>34</v>
      </c>
      <c r="B64" s="71"/>
    </row>
    <row r="65" spans="1:19">
      <c r="A65" s="20"/>
      <c r="B65" s="20"/>
    </row>
    <row r="66" spans="1:19">
      <c r="A66" s="1" t="s">
        <v>42</v>
      </c>
    </row>
    <row r="67" spans="1:19" ht="34" customHeight="1">
      <c r="A67" s="45"/>
      <c r="B67" s="45"/>
      <c r="C67" s="45"/>
      <c r="D67" s="46" t="s">
        <v>35</v>
      </c>
      <c r="E67" s="44" t="s">
        <v>151</v>
      </c>
      <c r="F67" s="44" t="s">
        <v>152</v>
      </c>
      <c r="H67"/>
      <c r="I67" s="87"/>
      <c r="J67" s="87" t="s">
        <v>37</v>
      </c>
      <c r="K67" s="87"/>
      <c r="L67" s="87"/>
      <c r="N67" s="86" t="s">
        <v>43</v>
      </c>
      <c r="O67" s="86" t="s">
        <v>44</v>
      </c>
      <c r="P67" s="2" t="s">
        <v>47</v>
      </c>
      <c r="Q67" s="2" t="s">
        <v>48</v>
      </c>
      <c r="R67" s="2" t="s">
        <v>46</v>
      </c>
      <c r="S67" s="2" t="s">
        <v>45</v>
      </c>
    </row>
    <row r="68" spans="1:19" s="8" customFormat="1" ht="21" customHeight="1">
      <c r="A68" s="47">
        <v>0</v>
      </c>
      <c r="B68" s="48" t="s">
        <v>36</v>
      </c>
      <c r="C68" s="49">
        <f ca="1">A68+RANDBETWEEN(1,5)</f>
        <v>3</v>
      </c>
      <c r="D68" s="50">
        <f ca="1">RANDBETWEEN(1,25)</f>
        <v>23</v>
      </c>
      <c r="E68" s="56"/>
      <c r="F68" s="57"/>
      <c r="G68" s="37"/>
      <c r="H68"/>
      <c r="I68" s="87"/>
      <c r="J68" s="87"/>
      <c r="K68" s="87"/>
      <c r="L68" s="87"/>
      <c r="M68" s="86"/>
      <c r="N68" s="86">
        <v>0</v>
      </c>
      <c r="O68" s="86">
        <v>0</v>
      </c>
      <c r="P68" s="2"/>
      <c r="Q68" s="2"/>
      <c r="R68" s="2"/>
      <c r="S68" s="2"/>
    </row>
    <row r="69" spans="1:19" s="8" customFormat="1" ht="21" customHeight="1">
      <c r="A69" s="52">
        <f ca="1">C68</f>
        <v>3</v>
      </c>
      <c r="B69" s="48" t="s">
        <v>36</v>
      </c>
      <c r="C69" s="49">
        <f ca="1">A69+RANDBETWEEN(1,5)</f>
        <v>4</v>
      </c>
      <c r="D69" s="50">
        <f ca="1">RANDBETWEEN(1,25)</f>
        <v>5</v>
      </c>
      <c r="E69" s="56"/>
      <c r="F69" s="57"/>
      <c r="G69" s="37"/>
      <c r="H69" s="51">
        <f ca="1">(C68-A68)/2</f>
        <v>1.5</v>
      </c>
      <c r="I69" s="94">
        <f ca="1">D68</f>
        <v>23</v>
      </c>
      <c r="J69" s="94">
        <f ca="1">H69*I69</f>
        <v>34.5</v>
      </c>
      <c r="K69" s="94">
        <f ca="1">mean-H69</f>
        <v>-1.5</v>
      </c>
      <c r="L69" s="94">
        <f ca="1">K69^2</f>
        <v>2.25</v>
      </c>
      <c r="M69" s="94">
        <f ca="1">L69*I69</f>
        <v>51.75</v>
      </c>
      <c r="N69" s="90">
        <f ca="1">C68</f>
        <v>3</v>
      </c>
      <c r="O69" s="90">
        <f ca="1">D68</f>
        <v>23</v>
      </c>
      <c r="P69" s="8">
        <f>A68</f>
        <v>0</v>
      </c>
      <c r="Q69" s="8">
        <f ca="1">C68</f>
        <v>3</v>
      </c>
      <c r="R69" s="8">
        <f ca="1">MROUND(D68/S69,0.01)</f>
        <v>7.67</v>
      </c>
      <c r="S69" s="8">
        <f ca="1">C68-A68</f>
        <v>3</v>
      </c>
    </row>
    <row r="70" spans="1:19" s="8" customFormat="1" ht="21" customHeight="1">
      <c r="A70" s="52">
        <f ca="1">C69</f>
        <v>4</v>
      </c>
      <c r="B70" s="48" t="s">
        <v>36</v>
      </c>
      <c r="C70" s="49">
        <f ca="1">A70+RANDBETWEEN(1,5)</f>
        <v>6</v>
      </c>
      <c r="D70" s="50">
        <f ca="1">RANDBETWEEN(1,25)</f>
        <v>25</v>
      </c>
      <c r="E70" s="56"/>
      <c r="F70" s="57"/>
      <c r="G70" s="37"/>
      <c r="H70" s="51">
        <f ca="1">(C69-A69)/2+A69</f>
        <v>3.5</v>
      </c>
      <c r="I70" s="94">
        <f ca="1">D69</f>
        <v>5</v>
      </c>
      <c r="J70" s="94">
        <f ca="1">H70*I70</f>
        <v>17.5</v>
      </c>
      <c r="K70" s="94">
        <f ca="1">mean-H70</f>
        <v>-3.5</v>
      </c>
      <c r="L70" s="94">
        <f ca="1">K70^2</f>
        <v>12.25</v>
      </c>
      <c r="M70" s="94">
        <f ca="1">L70*I70</f>
        <v>61.25</v>
      </c>
      <c r="N70" s="90">
        <f ca="1">C69</f>
        <v>4</v>
      </c>
      <c r="O70" s="90">
        <f ca="1">O69+D69</f>
        <v>28</v>
      </c>
      <c r="P70" s="8">
        <f ca="1">A69</f>
        <v>3</v>
      </c>
      <c r="Q70" s="8">
        <f ca="1">C69</f>
        <v>4</v>
      </c>
      <c r="R70" s="8">
        <f ca="1">MROUND(D69/S70,0.01)</f>
        <v>5</v>
      </c>
      <c r="S70" s="8">
        <f ca="1">C69-A69</f>
        <v>1</v>
      </c>
    </row>
    <row r="71" spans="1:19" s="8" customFormat="1" ht="21" customHeight="1">
      <c r="A71" s="53">
        <f ca="1">C70</f>
        <v>6</v>
      </c>
      <c r="B71" s="54" t="s">
        <v>36</v>
      </c>
      <c r="C71" s="55">
        <f ca="1">A71+RANDBETWEEN(1,5)</f>
        <v>11</v>
      </c>
      <c r="D71" s="50">
        <f ca="1">RANDBETWEEN(1,25)</f>
        <v>10</v>
      </c>
      <c r="E71" s="56"/>
      <c r="F71" s="57"/>
      <c r="G71" s="37"/>
      <c r="H71" s="51">
        <f ca="1">(C70+A70)/2</f>
        <v>5</v>
      </c>
      <c r="I71" s="94">
        <f ca="1">D70</f>
        <v>25</v>
      </c>
      <c r="J71" s="94">
        <f ca="1">H71*I71</f>
        <v>125</v>
      </c>
      <c r="K71" s="94">
        <f ca="1">mean-H71</f>
        <v>-5</v>
      </c>
      <c r="L71" s="94">
        <f ca="1">K71^2</f>
        <v>25</v>
      </c>
      <c r="M71" s="94">
        <f ca="1">L71*I71</f>
        <v>625</v>
      </c>
      <c r="N71" s="90">
        <f ca="1">C70</f>
        <v>6</v>
      </c>
      <c r="O71" s="90">
        <f ca="1">O70+D70</f>
        <v>53</v>
      </c>
      <c r="P71" s="8">
        <f ca="1">A70</f>
        <v>4</v>
      </c>
      <c r="Q71" s="8">
        <f ca="1">C70</f>
        <v>6</v>
      </c>
      <c r="R71" s="8">
        <f ca="1">MROUND(D70/S71,0.01)</f>
        <v>12.5</v>
      </c>
      <c r="S71" s="8">
        <f ca="1">C70-A70</f>
        <v>2</v>
      </c>
    </row>
    <row r="72" spans="1:19" ht="21" customHeight="1">
      <c r="H72" s="51">
        <f ca="1">(C71+A71)/2</f>
        <v>8.5</v>
      </c>
      <c r="I72" s="94">
        <f ca="1">D71</f>
        <v>10</v>
      </c>
      <c r="J72" s="94">
        <f ca="1">H72*I72</f>
        <v>85</v>
      </c>
      <c r="K72" s="94">
        <f ca="1">mean-H72</f>
        <v>-8.5</v>
      </c>
      <c r="L72" s="94">
        <f ca="1">K72^2</f>
        <v>72.25</v>
      </c>
      <c r="M72" s="94">
        <f ca="1">L72*I72</f>
        <v>722.5</v>
      </c>
      <c r="N72" s="90">
        <f ca="1">C71</f>
        <v>11</v>
      </c>
      <c r="O72" s="90">
        <f ca="1">O71+D71</f>
        <v>63</v>
      </c>
      <c r="P72" s="8">
        <f ca="1">A71</f>
        <v>6</v>
      </c>
      <c r="Q72" s="8">
        <f ca="1">C71</f>
        <v>11</v>
      </c>
      <c r="R72" s="8">
        <f ca="1">MROUND(D71/S72,0.01)</f>
        <v>2</v>
      </c>
      <c r="S72" s="8">
        <f ca="1">C71-A71</f>
        <v>5</v>
      </c>
    </row>
    <row r="73" spans="1:19" s="18" customFormat="1" ht="21" customHeight="1">
      <c r="A73" s="64" t="s">
        <v>40</v>
      </c>
      <c r="B73" s="64"/>
      <c r="C73" s="64"/>
      <c r="D73" s="64"/>
      <c r="E73" s="64"/>
      <c r="F73" s="64"/>
      <c r="G73" s="57"/>
      <c r="H73"/>
      <c r="I73" s="87">
        <f ca="1">SUM(I69:I72)</f>
        <v>63</v>
      </c>
      <c r="J73" s="87">
        <f ca="1">SUM(J69:J72)</f>
        <v>262</v>
      </c>
      <c r="K73" s="87"/>
      <c r="L73" s="87"/>
      <c r="M73" s="87">
        <f ca="1">SUM(M69:M72)</f>
        <v>1460.5</v>
      </c>
      <c r="N73" s="86"/>
      <c r="O73" s="86"/>
      <c r="P73" s="2"/>
      <c r="Q73" s="2"/>
      <c r="R73" s="2"/>
      <c r="S73" s="2"/>
    </row>
    <row r="74" spans="1:19" s="18" customFormat="1" ht="21" customHeight="1">
      <c r="A74" s="64" t="s">
        <v>41</v>
      </c>
      <c r="B74" s="64"/>
      <c r="C74" s="64"/>
      <c r="D74" s="64"/>
      <c r="E74" s="64"/>
      <c r="F74" s="64"/>
      <c r="G74" s="57"/>
      <c r="H74" s="19"/>
      <c r="I74" s="95" t="s">
        <v>38</v>
      </c>
      <c r="J74" s="96">
        <f ca="1">MROUND(J73/I73,0.01)</f>
        <v>4.16</v>
      </c>
      <c r="K74" s="95"/>
      <c r="L74" s="95"/>
      <c r="M74" s="95"/>
      <c r="N74" s="97"/>
      <c r="O74" s="97"/>
    </row>
    <row r="75" spans="1:19" ht="21" customHeight="1">
      <c r="A75" s="68" t="s">
        <v>154</v>
      </c>
      <c r="B75" s="68"/>
      <c r="C75" s="68"/>
      <c r="D75" s="68"/>
      <c r="E75" s="68"/>
      <c r="F75" s="68"/>
      <c r="G75" s="68"/>
      <c r="H75" s="19"/>
      <c r="I75" s="95" t="s">
        <v>39</v>
      </c>
      <c r="J75" s="96">
        <f ca="1">MROUND(SQRT(M73/(I73-1)),0.01)</f>
        <v>4.8500000000000005</v>
      </c>
      <c r="K75" s="95"/>
      <c r="L75" s="95"/>
      <c r="M75" s="95"/>
      <c r="N75" s="97"/>
      <c r="O75" s="97"/>
      <c r="P75" s="18"/>
      <c r="Q75" s="18"/>
      <c r="R75" s="18"/>
      <c r="S75" s="18"/>
    </row>
    <row r="76" spans="1:19" ht="21" customHeight="1">
      <c r="A76" s="68" t="s">
        <v>153</v>
      </c>
      <c r="B76" s="68"/>
      <c r="C76" s="68"/>
      <c r="D76" s="68"/>
      <c r="E76" s="68"/>
      <c r="F76" s="68"/>
      <c r="G76" s="68"/>
    </row>
    <row r="77" spans="1:19" ht="30" customHeight="1">
      <c r="F77" s="81" t="s">
        <v>162</v>
      </c>
      <c r="G77" s="81"/>
    </row>
    <row r="78" spans="1:19" ht="32" customHeight="1">
      <c r="F78" s="81"/>
      <c r="G78" s="81"/>
    </row>
    <row r="79" spans="1:19" ht="28" customHeight="1">
      <c r="F79" s="65"/>
      <c r="G79" s="65"/>
    </row>
    <row r="80" spans="1:19" ht="28" customHeight="1"/>
    <row r="81" spans="1:16" ht="28" customHeight="1"/>
    <row r="82" spans="1:16" ht="28" customHeight="1"/>
    <row r="83" spans="1:16" ht="36" customHeight="1">
      <c r="A83" s="69" t="s">
        <v>149</v>
      </c>
      <c r="B83" s="69"/>
      <c r="C83" s="69"/>
      <c r="D83" s="69"/>
      <c r="E83" s="69"/>
      <c r="F83" s="69"/>
      <c r="G83" s="69"/>
    </row>
    <row r="92" spans="1:16">
      <c r="H92" s="2">
        <f ca="1">RANDBETWEEN(101,400)/100</f>
        <v>3.62</v>
      </c>
      <c r="I92" s="86">
        <f ca="1">RANDBETWEEN(100,400)/100</f>
        <v>2.77</v>
      </c>
      <c r="K92" s="86" t="s">
        <v>146</v>
      </c>
      <c r="L92" s="86" t="s">
        <v>147</v>
      </c>
      <c r="M92" s="86" t="s">
        <v>148</v>
      </c>
      <c r="P92" s="2">
        <f ca="1">RANDBETWEEN(101,400)/100</f>
        <v>1.91</v>
      </c>
    </row>
    <row r="93" spans="1:16">
      <c r="H93" s="2">
        <f t="shared" ref="H93:I112" ca="1" si="6">RANDBETWEEN(100,400)/100</f>
        <v>3.2</v>
      </c>
      <c r="I93" s="86">
        <f t="shared" ca="1" si="6"/>
        <v>3.05</v>
      </c>
      <c r="L93" s="86">
        <v>1</v>
      </c>
      <c r="M93" s="86">
        <v>0</v>
      </c>
      <c r="P93" s="2">
        <f t="shared" ref="P93:P133" ca="1" si="7">RANDBETWEEN(101,400)/100</f>
        <v>1.66</v>
      </c>
    </row>
    <row r="94" spans="1:16">
      <c r="H94" s="2">
        <f t="shared" ca="1" si="6"/>
        <v>3.25</v>
      </c>
      <c r="I94" s="86">
        <f t="shared" ca="1" si="6"/>
        <v>3.17</v>
      </c>
      <c r="K94" s="86">
        <v>1</v>
      </c>
      <c r="L94" s="86">
        <v>1.5</v>
      </c>
      <c r="M94" s="86">
        <f ca="1">COUNTIF(H92:I112,"&lt;=1.5")</f>
        <v>5</v>
      </c>
      <c r="P94" s="2">
        <f t="shared" ca="1" si="7"/>
        <v>3.8</v>
      </c>
    </row>
    <row r="95" spans="1:16">
      <c r="H95" s="2">
        <f t="shared" ca="1" si="6"/>
        <v>3.57</v>
      </c>
      <c r="I95" s="86">
        <f t="shared" ca="1" si="6"/>
        <v>3.59</v>
      </c>
      <c r="K95" s="86">
        <v>1.5</v>
      </c>
      <c r="L95" s="86">
        <v>2</v>
      </c>
      <c r="M95" s="86">
        <f ca="1">COUNTIF(H93:I128,"&lt;=2")</f>
        <v>11</v>
      </c>
      <c r="P95" s="2">
        <f t="shared" ca="1" si="7"/>
        <v>2.62</v>
      </c>
    </row>
    <row r="96" spans="1:16">
      <c r="H96" s="2">
        <f t="shared" ca="1" si="6"/>
        <v>3.63</v>
      </c>
      <c r="I96" s="86">
        <f t="shared" ca="1" si="6"/>
        <v>3.41</v>
      </c>
      <c r="K96" s="86">
        <v>2</v>
      </c>
      <c r="L96" s="86">
        <v>2.5</v>
      </c>
      <c r="M96" s="86">
        <f ca="1">COUNTIF(H94:I129,"&lt;=2.5")</f>
        <v>13</v>
      </c>
      <c r="P96" s="2">
        <f t="shared" ca="1" si="7"/>
        <v>3.21</v>
      </c>
    </row>
    <row r="97" spans="1:16">
      <c r="H97" s="2">
        <f t="shared" ca="1" si="6"/>
        <v>1.25</v>
      </c>
      <c r="I97" s="86">
        <f t="shared" ca="1" si="6"/>
        <v>1.65</v>
      </c>
      <c r="K97" s="86">
        <v>2.5</v>
      </c>
      <c r="L97" s="86">
        <v>3</v>
      </c>
      <c r="M97" s="86">
        <f ca="1">COUNTIF(H95:I130,"&lt;=3")</f>
        <v>16</v>
      </c>
      <c r="P97" s="2">
        <f t="shared" ca="1" si="7"/>
        <v>3.55</v>
      </c>
    </row>
    <row r="98" spans="1:16">
      <c r="H98" s="2">
        <f t="shared" ca="1" si="6"/>
        <v>1.62</v>
      </c>
      <c r="I98" s="86">
        <f t="shared" ca="1" si="6"/>
        <v>2.7</v>
      </c>
      <c r="K98" s="86">
        <v>3</v>
      </c>
      <c r="L98" s="86">
        <v>3.5</v>
      </c>
      <c r="M98" s="86">
        <f ca="1">COUNTIF(H96:I131,"&lt;=3.5")</f>
        <v>25</v>
      </c>
      <c r="P98" s="2">
        <f t="shared" ca="1" si="7"/>
        <v>1.43</v>
      </c>
    </row>
    <row r="99" spans="1:16">
      <c r="H99" s="2">
        <f t="shared" ca="1" si="6"/>
        <v>3.9</v>
      </c>
      <c r="I99" s="86">
        <f t="shared" ca="1" si="6"/>
        <v>3.29</v>
      </c>
      <c r="K99" s="86">
        <v>3.5</v>
      </c>
      <c r="L99" s="86">
        <v>4</v>
      </c>
      <c r="M99" s="86">
        <f ca="1">COUNTIF(H97:I132,"&lt;=4")</f>
        <v>32</v>
      </c>
      <c r="P99" s="2">
        <f t="shared" ca="1" si="7"/>
        <v>1.6</v>
      </c>
    </row>
    <row r="100" spans="1:16">
      <c r="H100" s="2">
        <f t="shared" ca="1" si="6"/>
        <v>3.52</v>
      </c>
      <c r="I100" s="86">
        <f t="shared" ca="1" si="6"/>
        <v>1.01</v>
      </c>
      <c r="P100" s="2">
        <f t="shared" ca="1" si="7"/>
        <v>3.96</v>
      </c>
    </row>
    <row r="101" spans="1:16">
      <c r="H101" s="2">
        <f t="shared" ca="1" si="6"/>
        <v>3.08</v>
      </c>
      <c r="I101" s="86">
        <f t="shared" ca="1" si="6"/>
        <v>2.12</v>
      </c>
      <c r="L101" s="86" t="s">
        <v>49</v>
      </c>
      <c r="M101" s="86" t="s">
        <v>50</v>
      </c>
      <c r="P101" s="2">
        <f t="shared" ca="1" si="7"/>
        <v>2.23</v>
      </c>
    </row>
    <row r="102" spans="1:16">
      <c r="H102" s="2">
        <f t="shared" ca="1" si="6"/>
        <v>1.74</v>
      </c>
      <c r="I102" s="86">
        <f t="shared" ca="1" si="6"/>
        <v>3.14</v>
      </c>
      <c r="K102" s="86" t="s">
        <v>150</v>
      </c>
      <c r="L102" s="89">
        <f ca="1">MEDIAN(H92:I112)</f>
        <v>3.1550000000000002</v>
      </c>
      <c r="M102" s="86">
        <f ca="1">QUARTILE(O92:P112,2)</f>
        <v>1.96</v>
      </c>
      <c r="P102" s="2">
        <f t="shared" ca="1" si="7"/>
        <v>3.86</v>
      </c>
    </row>
    <row r="103" spans="1:16">
      <c r="H103" s="2">
        <f t="shared" ca="1" si="6"/>
        <v>1.81</v>
      </c>
      <c r="I103" s="86">
        <f t="shared" ca="1" si="6"/>
        <v>3.44</v>
      </c>
      <c r="K103" s="86" t="s">
        <v>28</v>
      </c>
      <c r="L103" s="86">
        <f ca="1">QUARTILE(H92:I112,3)</f>
        <v>3.55</v>
      </c>
      <c r="M103" s="86">
        <f ca="1">QUARTILE(O92:P112,3)</f>
        <v>3.39</v>
      </c>
      <c r="P103" s="2">
        <f t="shared" ca="1" si="7"/>
        <v>1.1599999999999999</v>
      </c>
    </row>
    <row r="104" spans="1:16">
      <c r="H104" s="2">
        <f t="shared" ca="1" si="6"/>
        <v>3.86</v>
      </c>
      <c r="I104" s="86">
        <f t="shared" ca="1" si="6"/>
        <v>1.33</v>
      </c>
      <c r="K104" s="86" t="s">
        <v>29</v>
      </c>
      <c r="L104" s="86">
        <f ca="1">QUARTILE(H92:I112,1)</f>
        <v>1.8875000000000002</v>
      </c>
      <c r="M104" s="86">
        <f ca="1">QUARTILE(O92:P112,1)</f>
        <v>1.45</v>
      </c>
      <c r="P104" s="2">
        <f t="shared" ca="1" si="7"/>
        <v>2.09</v>
      </c>
    </row>
    <row r="105" spans="1:16">
      <c r="H105" s="2">
        <f t="shared" ca="1" si="6"/>
        <v>3.5</v>
      </c>
      <c r="I105" s="86">
        <f t="shared" ca="1" si="6"/>
        <v>2.79</v>
      </c>
      <c r="K105" s="86" t="s">
        <v>15</v>
      </c>
      <c r="L105" s="89">
        <f ca="1">L103-L104</f>
        <v>1.6624999999999996</v>
      </c>
      <c r="M105" s="86">
        <f ca="1">M103-M104</f>
        <v>1.9400000000000002</v>
      </c>
      <c r="P105" s="2">
        <f t="shared" ca="1" si="7"/>
        <v>1.44</v>
      </c>
    </row>
    <row r="106" spans="1:16">
      <c r="A106" s="1" t="s">
        <v>159</v>
      </c>
      <c r="G106" s="9"/>
      <c r="H106" s="2">
        <f t="shared" ca="1" si="6"/>
        <v>3.56</v>
      </c>
      <c r="I106" s="86">
        <f t="shared" ca="1" si="6"/>
        <v>1.46</v>
      </c>
      <c r="P106" s="2">
        <f t="shared" ca="1" si="7"/>
        <v>1.34</v>
      </c>
    </row>
    <row r="107" spans="1:16">
      <c r="A107" s="1" t="s">
        <v>160</v>
      </c>
      <c r="G107" s="9"/>
      <c r="H107" s="2">
        <f t="shared" ca="1" si="6"/>
        <v>3.26</v>
      </c>
      <c r="I107" s="86">
        <f t="shared" ca="1" si="6"/>
        <v>3</v>
      </c>
      <c r="K107" s="86" t="s">
        <v>150</v>
      </c>
      <c r="L107" s="86">
        <f ca="1">L102-0.3</f>
        <v>2.8550000000000004</v>
      </c>
      <c r="P107" s="2">
        <f t="shared" ca="1" si="7"/>
        <v>3.39</v>
      </c>
    </row>
    <row r="108" spans="1:16">
      <c r="H108" s="2">
        <f t="shared" ca="1" si="6"/>
        <v>3.75</v>
      </c>
      <c r="I108" s="86">
        <f t="shared" ca="1" si="6"/>
        <v>3.1</v>
      </c>
      <c r="L108" s="86">
        <f ca="1">L102+0.3</f>
        <v>3.4550000000000001</v>
      </c>
      <c r="P108" s="2">
        <f t="shared" ca="1" si="7"/>
        <v>1.58</v>
      </c>
    </row>
    <row r="109" spans="1:16" ht="35" customHeight="1">
      <c r="A109" s="69" t="s">
        <v>161</v>
      </c>
      <c r="B109" s="69"/>
      <c r="C109" s="69"/>
      <c r="D109" s="69"/>
      <c r="E109" s="69"/>
      <c r="F109" s="69"/>
      <c r="G109" s="69"/>
      <c r="H109" s="2">
        <f t="shared" ca="1" si="6"/>
        <v>3.62</v>
      </c>
      <c r="I109" s="86">
        <f t="shared" ca="1" si="6"/>
        <v>1.5</v>
      </c>
      <c r="K109" s="86" t="s">
        <v>15</v>
      </c>
      <c r="L109" s="86">
        <f ca="1">L105-0.3</f>
        <v>1.3624999999999996</v>
      </c>
      <c r="P109" s="2">
        <f t="shared" ca="1" si="7"/>
        <v>1.96</v>
      </c>
    </row>
    <row r="110" spans="1:16">
      <c r="H110" s="2">
        <f t="shared" ca="1" si="6"/>
        <v>1.63</v>
      </c>
      <c r="I110" s="86">
        <f t="shared" ca="1" si="6"/>
        <v>3.69</v>
      </c>
      <c r="L110" s="86">
        <f ca="1">L105+0.3</f>
        <v>1.9624999999999997</v>
      </c>
      <c r="P110" s="2">
        <f t="shared" ca="1" si="7"/>
        <v>1.45</v>
      </c>
    </row>
    <row r="111" spans="1:16">
      <c r="H111" s="2">
        <f t="shared" ca="1" si="6"/>
        <v>1.74</v>
      </c>
      <c r="I111" s="86">
        <f t="shared" ca="1" si="6"/>
        <v>2.2400000000000002</v>
      </c>
      <c r="P111" s="2">
        <f t="shared" ca="1" si="7"/>
        <v>3.91</v>
      </c>
    </row>
    <row r="112" spans="1:16">
      <c r="H112" s="2">
        <f t="shared" ca="1" si="6"/>
        <v>3.43</v>
      </c>
      <c r="I112" s="86">
        <f t="shared" ca="1" si="6"/>
        <v>3.86</v>
      </c>
      <c r="P112" s="2">
        <f t="shared" ca="1" si="7"/>
        <v>1.1100000000000001</v>
      </c>
    </row>
    <row r="113" spans="1:16">
      <c r="P113" s="2">
        <f ca="1">RANDBETWEEN(101,400)/100</f>
        <v>2.31</v>
      </c>
    </row>
    <row r="114" spans="1:16">
      <c r="P114" s="2">
        <f t="shared" ca="1" si="7"/>
        <v>2.4500000000000002</v>
      </c>
    </row>
    <row r="115" spans="1:16">
      <c r="P115" s="2">
        <f t="shared" ca="1" si="7"/>
        <v>1.36</v>
      </c>
    </row>
    <row r="116" spans="1:16">
      <c r="P116" s="2">
        <f t="shared" ca="1" si="7"/>
        <v>3.76</v>
      </c>
    </row>
    <row r="117" spans="1:16">
      <c r="P117" s="2">
        <f t="shared" ca="1" si="7"/>
        <v>3.62</v>
      </c>
    </row>
    <row r="118" spans="1:16">
      <c r="P118" s="2">
        <f t="shared" ca="1" si="7"/>
        <v>1.36</v>
      </c>
    </row>
    <row r="119" spans="1:16">
      <c r="P119" s="2">
        <f t="shared" ca="1" si="7"/>
        <v>3.51</v>
      </c>
    </row>
    <row r="120" spans="1:16">
      <c r="P120" s="2">
        <f t="shared" ca="1" si="7"/>
        <v>1.41</v>
      </c>
    </row>
    <row r="121" spans="1:16">
      <c r="P121" s="2">
        <f t="shared" ca="1" si="7"/>
        <v>3.15</v>
      </c>
    </row>
    <row r="122" spans="1:16">
      <c r="P122" s="2">
        <f t="shared" ca="1" si="7"/>
        <v>2.5099999999999998</v>
      </c>
    </row>
    <row r="123" spans="1:16">
      <c r="P123" s="2">
        <f t="shared" ca="1" si="7"/>
        <v>2.2799999999999998</v>
      </c>
    </row>
    <row r="124" spans="1:16">
      <c r="P124" s="2">
        <f t="shared" ca="1" si="7"/>
        <v>2.37</v>
      </c>
    </row>
    <row r="125" spans="1:16">
      <c r="P125" s="2">
        <f t="shared" ca="1" si="7"/>
        <v>3.59</v>
      </c>
    </row>
    <row r="126" spans="1:16">
      <c r="P126" s="2">
        <f t="shared" ca="1" si="7"/>
        <v>2.25</v>
      </c>
    </row>
    <row r="127" spans="1:16">
      <c r="P127" s="2">
        <f t="shared" ca="1" si="7"/>
        <v>2.97</v>
      </c>
    </row>
    <row r="128" spans="1:16">
      <c r="A128" s="71" t="s">
        <v>58</v>
      </c>
      <c r="B128" s="71"/>
      <c r="C128" s="71"/>
      <c r="D128" s="71"/>
      <c r="P128" s="2">
        <f t="shared" ca="1" si="7"/>
        <v>2.72</v>
      </c>
    </row>
    <row r="129" spans="1:16">
      <c r="A129" s="20"/>
      <c r="B129" s="20"/>
      <c r="C129" s="20"/>
      <c r="D129" s="20"/>
      <c r="P129" s="2">
        <f t="shared" ca="1" si="7"/>
        <v>1.62</v>
      </c>
    </row>
    <row r="130" spans="1:16" ht="34" customHeight="1">
      <c r="A130" s="68" t="str">
        <f ca="1">"A mortgage has an annual interest rate of "&amp;I109&amp;"%, taken from the opening balance of £"&amp;C110&amp;", and a monthly repayment of £"&amp;E110&amp;"."</f>
        <v>A mortgage has an annual interest rate of 1.5%, taken from the opening balance of £, and a monthly repayment of £.</v>
      </c>
      <c r="B130" s="68"/>
      <c r="C130" s="68"/>
      <c r="D130" s="68"/>
      <c r="E130" s="68"/>
      <c r="F130" s="68"/>
      <c r="G130" s="68"/>
      <c r="P130" s="2">
        <f t="shared" ca="1" si="7"/>
        <v>1.25</v>
      </c>
    </row>
    <row r="131" spans="1:16">
      <c r="P131" s="2">
        <f t="shared" ca="1" si="7"/>
        <v>2.95</v>
      </c>
    </row>
    <row r="132" spans="1:16">
      <c r="A132" s="1"/>
      <c r="B132" s="21" t="s">
        <v>49</v>
      </c>
      <c r="C132" s="21" t="s">
        <v>50</v>
      </c>
      <c r="D132" s="21" t="s">
        <v>33</v>
      </c>
      <c r="E132" s="21" t="s">
        <v>51</v>
      </c>
      <c r="F132" s="21" t="s">
        <v>52</v>
      </c>
      <c r="P132" s="2">
        <f t="shared" ca="1" si="7"/>
        <v>3.38</v>
      </c>
    </row>
    <row r="133" spans="1:16" ht="30">
      <c r="A133" s="22">
        <v>1</v>
      </c>
      <c r="B133" s="23" t="s">
        <v>53</v>
      </c>
      <c r="C133" s="23" t="s">
        <v>54</v>
      </c>
      <c r="D133" s="23" t="s">
        <v>55</v>
      </c>
      <c r="E133" s="23" t="s">
        <v>56</v>
      </c>
      <c r="F133" s="23" t="s">
        <v>57</v>
      </c>
      <c r="I133" s="87">
        <f ca="1">RANDBETWEEN(30,55)/10</f>
        <v>5.5</v>
      </c>
      <c r="J133" s="98" t="s">
        <v>49</v>
      </c>
      <c r="K133" s="98" t="s">
        <v>50</v>
      </c>
      <c r="L133" s="98" t="s">
        <v>33</v>
      </c>
      <c r="M133" s="98" t="s">
        <v>51</v>
      </c>
      <c r="N133" s="98" t="s">
        <v>52</v>
      </c>
      <c r="P133" s="2">
        <f t="shared" ca="1" si="7"/>
        <v>3.47</v>
      </c>
    </row>
    <row r="134" spans="1:16" ht="32">
      <c r="A134" s="22">
        <v>2</v>
      </c>
      <c r="B134" s="5">
        <v>1</v>
      </c>
      <c r="C134" s="24">
        <f ca="1">MROUND(RANDBETWEEN(150000,300000),20000)</f>
        <v>220000</v>
      </c>
      <c r="D134" s="24"/>
      <c r="E134" s="24">
        <f ca="1">0.0045*C134</f>
        <v>989.99999999999989</v>
      </c>
      <c r="F134" s="24"/>
      <c r="I134" s="99">
        <v>1</v>
      </c>
      <c r="J134" s="100" t="s">
        <v>53</v>
      </c>
      <c r="K134" s="100" t="s">
        <v>54</v>
      </c>
      <c r="L134" s="100" t="s">
        <v>55</v>
      </c>
      <c r="M134" s="100" t="s">
        <v>56</v>
      </c>
      <c r="N134" s="100" t="s">
        <v>57</v>
      </c>
    </row>
    <row r="135" spans="1:16">
      <c r="A135" s="22">
        <v>3</v>
      </c>
      <c r="B135" s="5">
        <v>2</v>
      </c>
      <c r="C135" s="24"/>
      <c r="D135" s="24"/>
      <c r="E135" s="24"/>
      <c r="F135" s="24"/>
      <c r="I135" s="99">
        <v>2</v>
      </c>
      <c r="J135" s="101">
        <v>1</v>
      </c>
      <c r="K135" s="102">
        <f ca="1">C134</f>
        <v>220000</v>
      </c>
      <c r="L135" s="102">
        <f ca="1">MROUND(K135*I133/1200,0.01)</f>
        <v>1008.33</v>
      </c>
      <c r="M135" s="102">
        <f ca="1">0.0045*K135</f>
        <v>989.99999999999989</v>
      </c>
      <c r="N135" s="102">
        <f ca="1">K135+L135-M135</f>
        <v>220018.33</v>
      </c>
    </row>
    <row r="136" spans="1:16">
      <c r="A136" s="22">
        <v>4</v>
      </c>
      <c r="B136" s="5">
        <v>3</v>
      </c>
      <c r="C136" s="24"/>
      <c r="D136" s="24"/>
      <c r="E136" s="24"/>
      <c r="F136" s="24"/>
      <c r="I136" s="99">
        <v>3</v>
      </c>
      <c r="J136" s="101">
        <v>2</v>
      </c>
      <c r="K136" s="102">
        <f ca="1">N135</f>
        <v>220018.33</v>
      </c>
      <c r="L136" s="102">
        <f ca="1">MROUND(K136*I134/1200,0.01)</f>
        <v>183.35</v>
      </c>
      <c r="M136" s="102">
        <f ca="1">M135</f>
        <v>989.99999999999989</v>
      </c>
      <c r="N136" s="102">
        <f ca="1">K136+L136-M136</f>
        <v>219211.68</v>
      </c>
    </row>
    <row r="137" spans="1:16">
      <c r="A137" s="22">
        <v>5</v>
      </c>
      <c r="B137" s="5">
        <v>4</v>
      </c>
      <c r="C137" s="24"/>
      <c r="D137" s="24"/>
      <c r="E137" s="24"/>
      <c r="F137" s="24"/>
      <c r="I137" s="99">
        <v>4</v>
      </c>
      <c r="J137" s="101">
        <v>3</v>
      </c>
      <c r="K137" s="102">
        <f t="shared" ref="K137:K138" ca="1" si="8">N136</f>
        <v>219211.68</v>
      </c>
      <c r="L137" s="102">
        <f ca="1">MROUND(K137*I135/1200,0.01)</f>
        <v>365.35</v>
      </c>
      <c r="M137" s="102">
        <f t="shared" ref="M137:M138" ca="1" si="9">M136</f>
        <v>989.99999999999989</v>
      </c>
      <c r="N137" s="102">
        <f ca="1">K137+L137-M137</f>
        <v>218587.03</v>
      </c>
    </row>
    <row r="138" spans="1:16">
      <c r="I138" s="99">
        <v>5</v>
      </c>
      <c r="J138" s="101">
        <v>4</v>
      </c>
      <c r="K138" s="102">
        <f t="shared" ca="1" si="8"/>
        <v>218587.03</v>
      </c>
      <c r="L138" s="102">
        <f ca="1">MROUND(K138*I136/1200,0.01)</f>
        <v>546.47</v>
      </c>
      <c r="M138" s="102">
        <f t="shared" ca="1" si="9"/>
        <v>989.99999999999989</v>
      </c>
      <c r="N138" s="102">
        <f ca="1">K138+L138-M138</f>
        <v>218143.5</v>
      </c>
    </row>
    <row r="139" spans="1:16">
      <c r="A139" s="1" t="s">
        <v>59</v>
      </c>
      <c r="N139" s="103">
        <f ca="1">N138-0.5</f>
        <v>218143</v>
      </c>
      <c r="O139" s="103">
        <f ca="1">N138+0.5</f>
        <v>218144</v>
      </c>
    </row>
    <row r="140" spans="1:16">
      <c r="A140" s="1" t="s">
        <v>60</v>
      </c>
    </row>
    <row r="141" spans="1:16" ht="23" customHeight="1">
      <c r="A141" s="13" t="s">
        <v>85</v>
      </c>
      <c r="G141" s="9"/>
    </row>
    <row r="142" spans="1:16">
      <c r="A142" s="1"/>
      <c r="G142" s="41"/>
    </row>
    <row r="143" spans="1:16">
      <c r="A143" s="1"/>
      <c r="G143" s="41"/>
    </row>
    <row r="144" spans="1:16">
      <c r="A144" s="68" t="str">
        <f ca="1">"A mortgage has a monthly interest rate of "&amp;H144&amp;"%, taken from the opening balance of £"&amp;K146&amp;", and a monthly repayment of £"&amp;M146&amp;"."</f>
        <v>A mortgage has a monthly interest rate of 0.45%, taken from the opening balance of £280000, and a monthly repayment of £1260.</v>
      </c>
      <c r="B144" s="68"/>
      <c r="C144" s="68"/>
      <c r="D144" s="68"/>
      <c r="E144" s="68"/>
      <c r="F144" s="68"/>
      <c r="G144" s="68"/>
      <c r="H144" s="2">
        <f ca="1">MROUND(I144/12,0.01)</f>
        <v>0.45</v>
      </c>
      <c r="I144" s="87">
        <f ca="1">RANDBETWEEN(30,55)/10</f>
        <v>5.4</v>
      </c>
      <c r="J144" s="104" t="s">
        <v>49</v>
      </c>
      <c r="K144" s="104" t="s">
        <v>50</v>
      </c>
      <c r="L144" s="104" t="s">
        <v>33</v>
      </c>
      <c r="M144" s="104" t="s">
        <v>51</v>
      </c>
      <c r="N144" s="104" t="s">
        <v>52</v>
      </c>
    </row>
    <row r="145" spans="1:14" ht="36" customHeight="1">
      <c r="A145" s="68" t="s">
        <v>61</v>
      </c>
      <c r="B145" s="68"/>
      <c r="C145" s="68"/>
      <c r="D145" s="68"/>
      <c r="E145" s="68"/>
      <c r="F145" s="68"/>
      <c r="G145" s="68"/>
      <c r="I145" s="105">
        <v>1</v>
      </c>
      <c r="J145" s="106" t="s">
        <v>53</v>
      </c>
      <c r="K145" s="106" t="s">
        <v>54</v>
      </c>
      <c r="L145" s="106" t="s">
        <v>55</v>
      </c>
      <c r="M145" s="106" t="s">
        <v>56</v>
      </c>
      <c r="N145" s="106" t="s">
        <v>57</v>
      </c>
    </row>
    <row r="146" spans="1:14" ht="19">
      <c r="A146" s="25"/>
      <c r="B146" s="25"/>
      <c r="C146" s="27" t="s">
        <v>63</v>
      </c>
      <c r="D146" s="33"/>
      <c r="E146" s="27" t="s">
        <v>65</v>
      </c>
      <c r="F146" s="34">
        <f ca="1">M146</f>
        <v>1260</v>
      </c>
      <c r="G146" s="27"/>
      <c r="I146" s="105">
        <v>2</v>
      </c>
      <c r="J146" s="107">
        <v>1</v>
      </c>
      <c r="K146" s="108">
        <f ca="1">MROUND(RANDBETWEEN(150000,300000),20000)</f>
        <v>280000</v>
      </c>
      <c r="L146" s="108"/>
      <c r="M146" s="108">
        <f ca="1">0.0045*K146</f>
        <v>1260</v>
      </c>
      <c r="N146" s="108"/>
    </row>
    <row r="147" spans="1:14">
      <c r="I147" s="105">
        <v>3</v>
      </c>
      <c r="J147" s="107">
        <v>2</v>
      </c>
      <c r="K147" s="108">
        <f ca="1">MROUND(K146*H150-M146,0.01)</f>
        <v>280000</v>
      </c>
      <c r="L147" s="108"/>
      <c r="M147" s="108"/>
      <c r="N147" s="108"/>
    </row>
    <row r="148" spans="1:14">
      <c r="A148" s="1"/>
      <c r="B148" s="31" t="s">
        <v>49</v>
      </c>
      <c r="C148" s="74" t="s">
        <v>50</v>
      </c>
      <c r="D148" s="74"/>
      <c r="E148" s="28"/>
      <c r="F148" s="28"/>
      <c r="I148" s="105">
        <v>4</v>
      </c>
      <c r="J148" s="107">
        <v>3</v>
      </c>
      <c r="K148" s="108">
        <f ca="1">MROUND(K147*H150-M146,0.01)</f>
        <v>280000</v>
      </c>
      <c r="L148" s="108"/>
      <c r="M148" s="108"/>
      <c r="N148" s="108"/>
    </row>
    <row r="149" spans="1:14" ht="30" customHeight="1">
      <c r="A149" s="22">
        <v>1</v>
      </c>
      <c r="B149" s="23" t="s">
        <v>53</v>
      </c>
      <c r="C149" s="75" t="s">
        <v>62</v>
      </c>
      <c r="D149" s="75"/>
      <c r="E149" s="29"/>
      <c r="F149" s="29"/>
      <c r="I149" s="105">
        <v>5</v>
      </c>
      <c r="J149" s="107">
        <v>4</v>
      </c>
      <c r="K149" s="108">
        <f ca="1">MROUND(K148*H150-M146,0.01)</f>
        <v>280000</v>
      </c>
      <c r="L149" s="108"/>
      <c r="M149" s="108"/>
      <c r="N149" s="108"/>
    </row>
    <row r="150" spans="1:14">
      <c r="A150" s="22">
        <v>2</v>
      </c>
      <c r="B150" s="5">
        <v>0</v>
      </c>
      <c r="C150" s="76">
        <f ca="1">K146</f>
        <v>280000</v>
      </c>
      <c r="D150" s="76"/>
      <c r="E150" s="30"/>
      <c r="F150" s="30"/>
      <c r="H150" s="32">
        <f ca="1">MROUND(1+I144/1200,0.0001)</f>
        <v>1.0044999999999999</v>
      </c>
    </row>
    <row r="151" spans="1:14">
      <c r="A151" s="22">
        <v>3</v>
      </c>
      <c r="B151" s="5">
        <v>1</v>
      </c>
      <c r="C151" s="77"/>
      <c r="D151" s="77"/>
      <c r="E151" s="30"/>
      <c r="F151" s="30"/>
    </row>
    <row r="152" spans="1:14">
      <c r="A152" s="22">
        <v>4</v>
      </c>
      <c r="B152" s="5">
        <v>2</v>
      </c>
      <c r="C152" s="77"/>
      <c r="D152" s="77"/>
      <c r="E152" s="30"/>
      <c r="F152" s="30"/>
    </row>
    <row r="153" spans="1:14">
      <c r="A153" s="22">
        <v>5</v>
      </c>
      <c r="B153" s="5">
        <v>3</v>
      </c>
      <c r="C153" s="77"/>
      <c r="D153" s="77"/>
      <c r="E153" s="30"/>
      <c r="F153" s="30"/>
    </row>
    <row r="155" spans="1:14">
      <c r="A155" s="1" t="s">
        <v>64</v>
      </c>
      <c r="B155" s="1"/>
      <c r="C155" s="1"/>
      <c r="D155" s="1"/>
      <c r="E155" s="1"/>
      <c r="F155" s="1"/>
      <c r="G155" s="26"/>
    </row>
    <row r="156" spans="1:14" ht="32" customHeight="1">
      <c r="A156" s="68" t="s">
        <v>66</v>
      </c>
      <c r="B156" s="68"/>
      <c r="C156" s="68"/>
      <c r="D156" s="68"/>
      <c r="E156" s="68"/>
      <c r="F156" s="68"/>
      <c r="G156" s="68"/>
    </row>
    <row r="160" spans="1:14" ht="38" customHeight="1">
      <c r="A160" s="73" t="str">
        <f ca="1">"A "&amp;I161&amp;"% mortgage is offered to the value of £"&amp;H161&amp;".  
What is the value of the property to the nearest £1?"</f>
        <v>A 90% mortgage is offered to the value of £180000.  
What is the value of the property to the nearest £1?</v>
      </c>
      <c r="B160" s="73"/>
      <c r="C160" s="73"/>
      <c r="D160" s="73"/>
      <c r="E160" s="73"/>
      <c r="F160" s="73"/>
      <c r="G160" s="35"/>
    </row>
    <row r="161" spans="1:11">
      <c r="H161" s="2">
        <f ca="1">MROUND(RANDBETWEEN(150000,300000),20000)</f>
        <v>180000</v>
      </c>
      <c r="I161" s="86">
        <f ca="1">CHOOSE(RANDBETWEEN(1,2),90,95)</f>
        <v>90</v>
      </c>
      <c r="K161" s="103">
        <f ca="1">MROUND(H161/(I161/100),1)</f>
        <v>200000</v>
      </c>
    </row>
    <row r="165" spans="1:11">
      <c r="A165" s="71" t="s">
        <v>67</v>
      </c>
      <c r="B165" s="71"/>
      <c r="C165" s="71"/>
      <c r="D165" s="71"/>
    </row>
    <row r="167" spans="1:11" ht="33" customHeight="1">
      <c r="A167" s="69" t="str">
        <f ca="1">"£"&amp;H168&amp;" has been rounded to 2 significant figures. 
What is the maximum value it could be?"</f>
        <v>£68000 has been rounded to 2 significant figures. 
What is the maximum value it could be?</v>
      </c>
      <c r="B167" s="69"/>
      <c r="C167" s="69"/>
      <c r="D167" s="69"/>
      <c r="E167" s="69"/>
      <c r="F167" s="70"/>
      <c r="G167" s="9"/>
    </row>
    <row r="168" spans="1:11" ht="16" customHeight="1">
      <c r="A168" s="36"/>
      <c r="B168" s="36"/>
      <c r="C168" s="36"/>
      <c r="D168" s="36"/>
      <c r="E168" s="36"/>
      <c r="F168" s="36"/>
      <c r="H168">
        <f ca="1">MROUND(RANDBETWEEN(10000,99999),1000)</f>
        <v>68000</v>
      </c>
      <c r="I168" s="109">
        <f ca="1">H168+499.99</f>
        <v>68499.990000000005</v>
      </c>
    </row>
    <row r="169" spans="1:11" ht="32" customHeight="1">
      <c r="A169" s="69" t="str">
        <f ca="1">"£"&amp;H170&amp;" has been rounded to 2 significant figures.  
What is the minimum value it could be?"</f>
        <v>£37000 has been rounded to 2 significant figures.  
What is the minimum value it could be?</v>
      </c>
      <c r="B169" s="69"/>
      <c r="C169" s="69"/>
      <c r="D169" s="69"/>
      <c r="E169" s="69"/>
      <c r="F169" s="69"/>
      <c r="G169" s="9"/>
      <c r="H169"/>
      <c r="I169" s="87"/>
    </row>
    <row r="170" spans="1:11">
      <c r="H170">
        <f ca="1">MROUND(RANDBETWEEN(10000,99999),1000)</f>
        <v>37000</v>
      </c>
      <c r="I170" s="110">
        <f ca="1">H170-500</f>
        <v>36500</v>
      </c>
    </row>
    <row r="171" spans="1:11" ht="32" customHeight="1">
      <c r="A171" s="68" t="str">
        <f ca="1">"£"&amp;H172&amp;" has been rounded to the nearest £"&amp;I172&amp;".  
What is the maximum value it could be?"</f>
        <v>£4000 has been rounded to the nearest £1000.  
What is the maximum value it could be?</v>
      </c>
      <c r="B171" s="68"/>
      <c r="C171" s="68"/>
      <c r="D171" s="68"/>
      <c r="E171" s="68"/>
      <c r="F171" s="68"/>
      <c r="G171" s="9"/>
    </row>
    <row r="172" spans="1:11" ht="17" customHeight="1">
      <c r="A172" s="25"/>
      <c r="B172" s="25"/>
      <c r="C172" s="25"/>
      <c r="D172" s="25"/>
      <c r="E172" s="25"/>
      <c r="F172" s="25"/>
      <c r="H172">
        <f ca="1">MROUND(RANDBETWEEN(1000,9999),I172)</f>
        <v>4000</v>
      </c>
      <c r="I172" s="86">
        <f ca="1">CHOOSE(RANDBETWEEN(1,3),10,100,1000)</f>
        <v>1000</v>
      </c>
      <c r="J172" s="103">
        <f ca="1">H172+I172/2-0.01</f>
        <v>4499.99</v>
      </c>
    </row>
    <row r="173" spans="1:11" ht="31" customHeight="1">
      <c r="A173" s="68" t="str">
        <f ca="1">"£"&amp;H174&amp;" has been rounded to the nearest £"&amp;I174&amp;".  
What is the nimimum value it could be?"</f>
        <v>£3000 has been rounded to the nearest £100.  
What is the nimimum value it could be?</v>
      </c>
      <c r="B173" s="68"/>
      <c r="C173" s="68"/>
      <c r="D173" s="68"/>
      <c r="E173" s="68"/>
      <c r="F173" s="68"/>
      <c r="G173" s="9"/>
      <c r="H173"/>
    </row>
    <row r="174" spans="1:11">
      <c r="H174">
        <f ca="1">MROUND(RANDBETWEEN(1000,9999),I174)</f>
        <v>3000</v>
      </c>
      <c r="I174" s="86">
        <f ca="1">CHOOSE(RANDBETWEEN(1,3),10,100,1000)</f>
        <v>100</v>
      </c>
      <c r="J174" s="89">
        <f ca="1">H174-I174/2</f>
        <v>2950</v>
      </c>
    </row>
    <row r="175" spans="1:11" ht="47" customHeight="1">
      <c r="A175" s="68" t="str">
        <f ca="1">"Prices are expected to increase by "&amp;H176&amp;"% per year correct to 2 significant figures.  If the current price is £"&amp;I176&amp;", what is the maximum price it will be in "&amp;J176&amp;" years time."</f>
        <v>Prices are expected to increase by 2.6% per year correct to 2 significant figures.  If the current price is £104000, what is the maximum price it will be in 4 years time.</v>
      </c>
      <c r="B175" s="68"/>
      <c r="C175" s="68"/>
      <c r="D175" s="68"/>
      <c r="E175" s="68"/>
      <c r="F175" s="68"/>
      <c r="G175" s="9"/>
    </row>
    <row r="176" spans="1:11">
      <c r="A176" s="1"/>
      <c r="H176">
        <f ca="1">RANDBETWEEN(10,50)/10</f>
        <v>2.6</v>
      </c>
      <c r="I176" s="87">
        <f ca="1">MROUND(RANDBETWEEN(1000,500000),1000)</f>
        <v>104000</v>
      </c>
      <c r="J176" s="87">
        <f ca="1">RANDBETWEEN(2,5)</f>
        <v>4</v>
      </c>
      <c r="K176" s="109">
        <f ca="1">MROUND(I176*(1+(H176+0.05)/100)^J176,0.01)</f>
        <v>115470</v>
      </c>
    </row>
    <row r="177" spans="1:12" ht="45" customHeight="1">
      <c r="A177" s="68" t="str">
        <f ca="1">"Prices are expected to increase by "&amp;H178&amp;"% per year correct to 2 significant figures.  If the current price is £"&amp;I178&amp;", what is the mimimum price it will be in "&amp;J178&amp;" years time."</f>
        <v>Prices are expected to increase by 2.6% per year correct to 2 significant figures.  If the current price is £2000, what is the mimimum price it will be in 3 years time.</v>
      </c>
      <c r="B177" s="68"/>
      <c r="C177" s="68"/>
      <c r="D177" s="68"/>
      <c r="E177" s="68"/>
      <c r="F177" s="68"/>
      <c r="G177" s="9"/>
      <c r="H177"/>
      <c r="I177" s="87"/>
      <c r="J177" s="87"/>
      <c r="K177" s="111"/>
    </row>
    <row r="178" spans="1:12">
      <c r="H178">
        <f ca="1">RANDBETWEEN(10,50)/10</f>
        <v>2.6</v>
      </c>
      <c r="I178" s="87">
        <f ca="1">MROUND(RANDBETWEEN(1000,500000),1000)</f>
        <v>2000</v>
      </c>
      <c r="J178" s="87">
        <f ca="1">RANDBETWEEN(2,5)</f>
        <v>3</v>
      </c>
      <c r="K178" s="109">
        <f ca="1">MROUND(I178*(1+(H178-0.05)/100)^J178,0.01)</f>
        <v>2156.9299999999998</v>
      </c>
    </row>
    <row r="179" spans="1:12">
      <c r="A179" s="71" t="s">
        <v>72</v>
      </c>
      <c r="B179" s="71"/>
      <c r="C179" s="71"/>
      <c r="D179" s="71"/>
    </row>
    <row r="181" spans="1:12" ht="47" customHeight="1">
      <c r="A181" s="68" t="str">
        <f ca="1">"£"&amp;I181&amp;" is invested in account with an annual compound interest rate of "&amp;I182&amp;"% for "&amp;I183&amp;" years.  
How much will be in the account at the end of the time?"</f>
        <v>£1502 is invested in account with an annual compound interest rate of 0.4% for 6 years.  
How much will be in the account at the end of the time?</v>
      </c>
      <c r="B181" s="68"/>
      <c r="C181" s="68"/>
      <c r="D181" s="68"/>
      <c r="E181" s="68"/>
      <c r="F181" s="68"/>
      <c r="G181" s="9"/>
      <c r="H181" t="s">
        <v>68</v>
      </c>
      <c r="I181" s="87">
        <f ca="1">RANDBETWEEN(100, 10000)</f>
        <v>1502</v>
      </c>
      <c r="J181" s="109">
        <f ca="1">MROUND(J184/((100+J182)/100)^J183,0.01)</f>
        <v>51447.65</v>
      </c>
    </row>
    <row r="182" spans="1:12">
      <c r="H182" t="s">
        <v>69</v>
      </c>
      <c r="I182" s="112">
        <f ca="1">ROUND(RAND()*10,1)</f>
        <v>0.4</v>
      </c>
      <c r="J182" s="112">
        <f ca="1">ROUND(RAND()*10,1)</f>
        <v>7.2</v>
      </c>
    </row>
    <row r="183" spans="1:12" ht="51" customHeight="1">
      <c r="A183" s="68" t="str">
        <f ca="1">"£"&amp;J184&amp;" is needed for a payment after "&amp;J183&amp;" years.  
If the annual compound interest rate is "&amp;J182&amp;"%, how much should be invested?"</f>
        <v>£78079 is needed for a payment after 6 years.  
If the annual compound interest rate is 7.2%, how much should be invested?</v>
      </c>
      <c r="B183" s="68"/>
      <c r="C183" s="68"/>
      <c r="D183" s="68"/>
      <c r="E183" s="68"/>
      <c r="F183" s="68"/>
      <c r="G183" s="9"/>
      <c r="H183" t="s">
        <v>70</v>
      </c>
      <c r="I183" s="87">
        <f ca="1">RANDBETWEEN(2, 15)</f>
        <v>6</v>
      </c>
      <c r="J183" s="87">
        <f ca="1">RANDBETWEEN(2, 15)</f>
        <v>6</v>
      </c>
    </row>
    <row r="184" spans="1:12">
      <c r="H184" t="s">
        <v>71</v>
      </c>
      <c r="I184" s="109">
        <f ca="1">MROUND(I181*((100+I182)/100)^I183,0.01)</f>
        <v>1538.41</v>
      </c>
      <c r="J184" s="87">
        <f ca="1">RANDBETWEEN(1000, 100000)</f>
        <v>78079</v>
      </c>
    </row>
    <row r="185" spans="1:12">
      <c r="A185" s="71" t="s">
        <v>73</v>
      </c>
      <c r="B185" s="71"/>
      <c r="C185" s="71"/>
      <c r="D185" s="71"/>
    </row>
    <row r="187" spans="1:12" ht="50" customHeight="1">
      <c r="A187" s="68" t="s">
        <v>74</v>
      </c>
      <c r="B187" s="68"/>
      <c r="C187" s="68"/>
      <c r="D187" s="68"/>
      <c r="E187" s="68"/>
      <c r="F187" s="68"/>
      <c r="G187" s="68"/>
    </row>
    <row r="188" spans="1:12" ht="16" customHeight="1">
      <c r="A188" s="25"/>
      <c r="B188" s="25"/>
      <c r="C188" s="25"/>
      <c r="D188" s="25"/>
      <c r="E188" s="25"/>
      <c r="F188" s="25"/>
      <c r="G188" s="27"/>
    </row>
    <row r="189" spans="1:12" ht="31" customHeight="1">
      <c r="A189" s="68" t="str">
        <f ca="1">"Account A earns annual compound interest rate of "&amp;H190&amp;"%, paid every "&amp;I190&amp;" months."</f>
        <v>Account A earns annual compound interest rate of 9.82%, paid every 12 months.</v>
      </c>
      <c r="B189" s="68"/>
      <c r="C189" s="68"/>
      <c r="D189" s="68"/>
      <c r="E189" s="68"/>
      <c r="F189" s="68"/>
      <c r="G189" s="9"/>
    </row>
    <row r="190" spans="1:12" ht="16" customHeight="1">
      <c r="A190" s="25"/>
      <c r="B190" s="25"/>
      <c r="C190" s="25"/>
      <c r="D190" s="25"/>
      <c r="E190" s="25"/>
      <c r="F190" s="25"/>
      <c r="H190" s="38">
        <f ca="1">RANDBETWEEN(100,1000)/100</f>
        <v>9.82</v>
      </c>
      <c r="I190" s="113">
        <v>12</v>
      </c>
      <c r="J190" s="114">
        <f>12/I190</f>
        <v>1</v>
      </c>
      <c r="K190" s="115">
        <f ca="1">MROUND((((1+H190/(100*J190))^J190)-1)*100,0.001)</f>
        <v>9.82</v>
      </c>
      <c r="L190" s="86" t="s">
        <v>49</v>
      </c>
    </row>
    <row r="191" spans="1:12" ht="30" customHeight="1">
      <c r="A191" s="68" t="str">
        <f ca="1">"Account A earns annual compound interest rate of "&amp;H192&amp;"%, paid every "&amp;I192&amp;" months."</f>
        <v>Account A earns annual compound interest rate of 9.64%, paid every 6 months.</v>
      </c>
      <c r="B191" s="68"/>
      <c r="C191" s="68"/>
      <c r="D191" s="68"/>
      <c r="E191" s="68"/>
      <c r="F191" s="68"/>
      <c r="G191" s="9"/>
      <c r="H191" s="38"/>
      <c r="I191" s="113"/>
      <c r="J191" s="114"/>
      <c r="K191" s="116"/>
    </row>
    <row r="192" spans="1:12" ht="18" customHeight="1">
      <c r="A192" s="25"/>
      <c r="B192" s="25"/>
      <c r="C192" s="25"/>
      <c r="D192" s="25"/>
      <c r="E192" s="25"/>
      <c r="F192" s="25"/>
      <c r="H192" s="38">
        <f ca="1">H190-RANDBETWEEN(1,20)/100</f>
        <v>9.64</v>
      </c>
      <c r="I192" s="101">
        <f ca="1">CHOOSE(RANDBETWEEN(1,3),3,4,6)</f>
        <v>6</v>
      </c>
      <c r="J192" s="114">
        <f t="shared" ref="J192:J194" ca="1" si="10">12/I192</f>
        <v>2</v>
      </c>
      <c r="K192" s="115">
        <f ca="1">MROUND((((1+H192/(100*J192))^J192)-1)*100,0.001)</f>
        <v>9.8719999999999999</v>
      </c>
      <c r="L192" s="86" t="s">
        <v>50</v>
      </c>
    </row>
    <row r="193" spans="1:19" ht="35" customHeight="1">
      <c r="A193" s="68" t="str">
        <f ca="1">"Account A earns annual compound interest rate of "&amp;H194&amp;"%, paid every "&amp;I194&amp;" months."</f>
        <v>Account A earns annual compound interest rate of 9.72%, paid every 4 months.</v>
      </c>
      <c r="B193" s="68"/>
      <c r="C193" s="68"/>
      <c r="D193" s="68"/>
      <c r="E193" s="68"/>
      <c r="F193" s="68"/>
      <c r="G193" s="9"/>
      <c r="H193" s="38"/>
      <c r="I193" s="101"/>
      <c r="J193" s="114"/>
      <c r="K193" s="116"/>
    </row>
    <row r="194" spans="1:19">
      <c r="H194" s="38">
        <f ca="1">H190-RANDBETWEEN(1,20)/100</f>
        <v>9.7200000000000006</v>
      </c>
      <c r="I194" s="101">
        <f ca="1">CHOOSE(RANDBETWEEN(1,5),1,2,3,4,6)</f>
        <v>4</v>
      </c>
      <c r="J194" s="114">
        <f t="shared" ca="1" si="10"/>
        <v>3</v>
      </c>
      <c r="K194" s="115">
        <f ca="1">MROUND((((1+H194/(100*J194))^J194)-1)*100,0.001)</f>
        <v>10.038</v>
      </c>
      <c r="L194" s="86" t="s">
        <v>33</v>
      </c>
    </row>
    <row r="195" spans="1:19" ht="22" customHeight="1">
      <c r="A195" s="13" t="s">
        <v>75</v>
      </c>
      <c r="G195" s="9"/>
      <c r="K195" s="117">
        <f ca="1">MAX(K190:K194)</f>
        <v>10.038</v>
      </c>
      <c r="L195" s="89" t="str">
        <f ca="1">IF(K195=K194,L194,IF(K195=K192,L192,IF(K195=K190,L190)))</f>
        <v>C</v>
      </c>
    </row>
    <row r="196" spans="1:19" ht="18" customHeight="1">
      <c r="A196" s="13"/>
      <c r="G196" s="41"/>
    </row>
    <row r="198" spans="1:19">
      <c r="A198" s="71" t="s">
        <v>76</v>
      </c>
      <c r="B198" s="71"/>
      <c r="C198" s="71"/>
      <c r="D198" s="71"/>
    </row>
    <row r="200" spans="1:19" ht="37" customHeight="1">
      <c r="A200" s="68" t="str">
        <f ca="1">"A loan of £"&amp;H201&amp;" is taken out over "&amp;I201&amp;" years and is paid back in a single installement with an APR of "&amp;J201&amp;"%.  Calculate the total repayment of the loan."</f>
        <v>A loan of £1150 is taken out over 3 years and is paid back in a single installement with an APR of 1.3%.  Calculate the total repayment of the loan.</v>
      </c>
      <c r="B200" s="68"/>
      <c r="C200" s="68"/>
      <c r="D200" s="68"/>
      <c r="E200" s="68"/>
      <c r="F200" s="68"/>
      <c r="G200" s="9"/>
      <c r="H200" t="s">
        <v>77</v>
      </c>
      <c r="I200" s="87" t="s">
        <v>70</v>
      </c>
      <c r="J200" s="87" t="s">
        <v>78</v>
      </c>
      <c r="K200" s="87" t="s">
        <v>79</v>
      </c>
      <c r="L200" s="87" t="s">
        <v>80</v>
      </c>
      <c r="M200" s="87" t="s">
        <v>81</v>
      </c>
      <c r="N200" s="87" t="s">
        <v>82</v>
      </c>
      <c r="O200" s="87" t="s">
        <v>56</v>
      </c>
      <c r="P200" t="s">
        <v>56</v>
      </c>
      <c r="Q200" t="s">
        <v>56</v>
      </c>
      <c r="R200" t="s">
        <v>83</v>
      </c>
      <c r="S200" t="s">
        <v>84</v>
      </c>
    </row>
    <row r="201" spans="1:19">
      <c r="A201" s="1"/>
      <c r="H201">
        <f ca="1">MROUND(RANDBETWEEN(500,2000),50)</f>
        <v>1150</v>
      </c>
      <c r="I201" s="87">
        <f ca="1">RANDBETWEEN(1,4)</f>
        <v>3</v>
      </c>
      <c r="J201" s="87">
        <f ca="1">RANDBETWEEN(10,90)/10</f>
        <v>1.3</v>
      </c>
      <c r="K201" s="87">
        <f ca="1">J201/100+1</f>
        <v>1.0129999999999999</v>
      </c>
      <c r="L201" s="87">
        <v>1</v>
      </c>
      <c r="M201" s="87"/>
      <c r="N201" s="87"/>
      <c r="O201" s="87">
        <f ca="1">ROUND(H201*(1+J201/100)^I201,2)</f>
        <v>1195.44</v>
      </c>
      <c r="P201"/>
      <c r="Q201"/>
      <c r="R201" s="43">
        <f ca="1">O201</f>
        <v>1195.44</v>
      </c>
      <c r="S201">
        <f ca="1">R201-H201</f>
        <v>45.440000000000055</v>
      </c>
    </row>
    <row r="202" spans="1:19" ht="38" customHeight="1">
      <c r="A202" s="68" t="str">
        <f ca="1">"A loan with interest rate "&amp;J203&amp;" % is taken out over "&amp;I203&amp;" years and is paid back in a single repayment of £"&amp;O203&amp;".  Calculate the amount of the loan."</f>
        <v>A loan with interest rate 8.6 % is taken out over 3 years and is paid back in a single repayment of £640.41.  Calculate the amount of the loan.</v>
      </c>
      <c r="B202" s="68"/>
      <c r="C202" s="68"/>
      <c r="D202" s="68"/>
      <c r="E202" s="68"/>
      <c r="F202" s="68"/>
      <c r="G202" s="9"/>
      <c r="H202"/>
      <c r="I202" s="87"/>
      <c r="J202" s="87"/>
      <c r="K202" s="87"/>
      <c r="L202" s="87"/>
      <c r="M202" s="87"/>
      <c r="N202" s="87"/>
      <c r="O202" s="87"/>
      <c r="P202"/>
      <c r="Q202"/>
      <c r="R202"/>
      <c r="S202"/>
    </row>
    <row r="203" spans="1:19">
      <c r="A203" s="1"/>
      <c r="H203" s="43">
        <f ca="1">MROUND(RANDBETWEEN(500,2000),50)</f>
        <v>500</v>
      </c>
      <c r="I203" s="87">
        <f ca="1">RANDBETWEEN(1,4)</f>
        <v>3</v>
      </c>
      <c r="J203" s="87">
        <f ca="1">RANDBETWEEN(10,90)/10</f>
        <v>8.6</v>
      </c>
      <c r="K203" s="87">
        <f ca="1">J203/100+1</f>
        <v>1.0860000000000001</v>
      </c>
      <c r="L203" s="87">
        <v>1</v>
      </c>
      <c r="M203" s="87"/>
      <c r="N203" s="87"/>
      <c r="O203" s="87">
        <f ca="1">ROUND(H203*(1+J203/100)^I203,2)</f>
        <v>640.41</v>
      </c>
      <c r="P203"/>
      <c r="Q203"/>
      <c r="R203">
        <f ca="1">O203</f>
        <v>640.41</v>
      </c>
      <c r="S203">
        <f ca="1">R203-H203</f>
        <v>140.40999999999997</v>
      </c>
    </row>
    <row r="204" spans="1:19" ht="37" customHeight="1">
      <c r="A204" s="68" t="str">
        <f ca="1">"A loan with interest rate "&amp;J205&amp;" % is taken out over "&amp;I205&amp;" years and is paid back in "&amp;I205&amp;" repayments of £"&amp;P205&amp;".  Calculate the amount of the loan."</f>
        <v>A loan with interest rate 7.1 % is taken out over 2 years and is paid back in 2 repayments of £2130.  Calculate the amount of the loan.</v>
      </c>
      <c r="B204" s="68"/>
      <c r="C204" s="68"/>
      <c r="D204" s="68"/>
      <c r="E204" s="68"/>
      <c r="F204" s="68"/>
      <c r="G204" s="9"/>
      <c r="H204"/>
      <c r="I204" s="87"/>
      <c r="J204" s="87"/>
      <c r="K204" s="87"/>
      <c r="L204" s="87"/>
      <c r="M204" s="87"/>
      <c r="N204" s="87"/>
      <c r="O204" s="87"/>
      <c r="P204"/>
      <c r="Q204"/>
      <c r="R204"/>
      <c r="S204"/>
    </row>
    <row r="205" spans="1:19">
      <c r="A205" s="1"/>
      <c r="H205" s="67">
        <f ca="1">ROUND(O205/K205^L205+P205/K205^M205,2)</f>
        <v>3845.75</v>
      </c>
      <c r="I205" s="87">
        <v>2</v>
      </c>
      <c r="J205" s="87">
        <f ca="1">RANDBETWEEN(10,90)/10</f>
        <v>7.1</v>
      </c>
      <c r="K205" s="87">
        <f ca="1">J205/100+1</f>
        <v>1.071</v>
      </c>
      <c r="L205" s="87">
        <v>1</v>
      </c>
      <c r="M205" s="87">
        <v>2</v>
      </c>
      <c r="N205" s="87"/>
      <c r="O205" s="87">
        <f ca="1">RANDBETWEEN(1000,3000)</f>
        <v>2130</v>
      </c>
      <c r="P205">
        <f ca="1">O205</f>
        <v>2130</v>
      </c>
      <c r="Q205"/>
      <c r="R205">
        <f ca="1">SUM(O205:Q205)</f>
        <v>4260</v>
      </c>
      <c r="S205" s="17">
        <f ca="1">R205-H205</f>
        <v>414.25</v>
      </c>
    </row>
    <row r="206" spans="1:19" ht="33" customHeight="1">
      <c r="A206" s="68" t="str">
        <f ca="1">"A loan of £"&amp;H207&amp;" is taken out over "&amp;I207&amp;" years and is paid back in "&amp;I207&amp;" equal installements with an APR of "&amp;J207&amp;"%.  Calculate the amount of each installment."</f>
        <v>A loan of £7127.98 is taken out over 3 years and is paid back in 3 equal installements with an APR of 7.4%.  Calculate the amount of each installment.</v>
      </c>
      <c r="B206" s="68"/>
      <c r="C206" s="68"/>
      <c r="D206" s="68"/>
      <c r="E206" s="68"/>
      <c r="F206" s="68"/>
      <c r="G206" s="9"/>
      <c r="H206" s="17"/>
      <c r="I206" s="87"/>
      <c r="J206" s="87"/>
      <c r="K206" s="87"/>
      <c r="L206" s="87"/>
      <c r="M206" s="87"/>
      <c r="N206" s="87"/>
      <c r="O206" s="87"/>
      <c r="P206"/>
      <c r="Q206"/>
      <c r="R206"/>
      <c r="S206" s="17"/>
    </row>
    <row r="207" spans="1:19">
      <c r="A207" s="1"/>
      <c r="H207" s="17">
        <f ca="1">ROUND(O207/K207^L207+P207/K207^M207+Q207/K207^N207,2)</f>
        <v>7127.98</v>
      </c>
      <c r="I207" s="87">
        <v>3</v>
      </c>
      <c r="J207" s="87">
        <f ca="1">RANDBETWEEN(10,90)/10</f>
        <v>7.4</v>
      </c>
      <c r="K207" s="87">
        <f ca="1">J207/100+1</f>
        <v>1.0740000000000001</v>
      </c>
      <c r="L207" s="87">
        <v>1</v>
      </c>
      <c r="M207" s="87">
        <v>2</v>
      </c>
      <c r="N207" s="87">
        <v>3</v>
      </c>
      <c r="O207" s="110">
        <f ca="1">RANDBETWEEN(1000,3000)</f>
        <v>2736</v>
      </c>
      <c r="P207">
        <f ca="1">O207</f>
        <v>2736</v>
      </c>
      <c r="Q207">
        <f ca="1">P207</f>
        <v>2736</v>
      </c>
      <c r="R207">
        <f ca="1">SUM(O207:Q207)</f>
        <v>8208</v>
      </c>
      <c r="S207" s="17">
        <f ca="1">R207-H207</f>
        <v>1080.0200000000004</v>
      </c>
    </row>
    <row r="208" spans="1:19" ht="48" customHeight="1">
      <c r="A208" s="68" t="str">
        <f ca="1">"A loan of £"&amp;H209&amp;" is taken out over "&amp;I209&amp;" years and is paid back in "&amp;I209&amp;" installments with an APR of "&amp;J209&amp;"%.  The first installment is £"&amp;O209&amp;". Calculate the value of the 2nd installment."</f>
        <v>A loan of £1450 is taken out over 2 years and is paid back in 2 installments with an APR of 6.4%.  The first installment is £725. Calculate the value of the 2nd installment.</v>
      </c>
      <c r="B208" s="68"/>
      <c r="C208" s="68"/>
      <c r="D208" s="68"/>
      <c r="E208" s="68"/>
      <c r="F208" s="68"/>
      <c r="G208" s="9"/>
      <c r="H208" s="17"/>
      <c r="I208" s="87"/>
      <c r="J208" s="87"/>
      <c r="K208" s="87"/>
      <c r="L208" s="87"/>
      <c r="M208" s="87"/>
      <c r="N208" s="87"/>
      <c r="O208" s="87"/>
      <c r="P208"/>
      <c r="Q208"/>
      <c r="R208"/>
      <c r="S208" s="17"/>
    </row>
    <row r="209" spans="1:19">
      <c r="H209">
        <f ca="1">MROUND(RANDBETWEEN(500,2000),50)</f>
        <v>1450</v>
      </c>
      <c r="I209" s="87">
        <v>2</v>
      </c>
      <c r="J209" s="87">
        <f ca="1">RANDBETWEEN(10,90)/10</f>
        <v>6.4</v>
      </c>
      <c r="K209" s="87">
        <f ca="1">J209/100+1</f>
        <v>1.0640000000000001</v>
      </c>
      <c r="L209" s="87">
        <v>1</v>
      </c>
      <c r="M209" s="87">
        <v>2</v>
      </c>
      <c r="N209" s="87"/>
      <c r="O209" s="87">
        <f ca="1">H209/2</f>
        <v>725</v>
      </c>
      <c r="P209" s="43">
        <f ca="1">ROUND((H209-O209/K209)*K209^I209,2)</f>
        <v>870.14</v>
      </c>
      <c r="Q209"/>
      <c r="R209">
        <f ca="1">SUM(O209:Q209)</f>
        <v>1595.1399999999999</v>
      </c>
      <c r="S209" s="17">
        <f ca="1">R209-H209</f>
        <v>145.13999999999987</v>
      </c>
    </row>
    <row r="211" spans="1:19">
      <c r="A211" s="71" t="s">
        <v>86</v>
      </c>
      <c r="B211" s="71"/>
      <c r="C211" s="71"/>
      <c r="D211" s="71"/>
      <c r="E211" s="2" t="s">
        <v>87</v>
      </c>
    </row>
    <row r="212" spans="1:19">
      <c r="H212" t="s">
        <v>88</v>
      </c>
      <c r="I212" s="87"/>
      <c r="J212" s="87"/>
      <c r="K212" s="87"/>
      <c r="L212" s="87" t="s">
        <v>89</v>
      </c>
      <c r="M212" s="87"/>
      <c r="N212" s="87"/>
    </row>
    <row r="213" spans="1:19" ht="29" customHeight="1">
      <c r="A213" s="13" t="str">
        <f ca="1">"Calculate the net monthly pay for an annual salary of £"&amp;M214&amp;"."</f>
        <v>Calculate the net monthly pay for an annual salary of £32271.</v>
      </c>
      <c r="G213" s="9"/>
      <c r="H213"/>
      <c r="I213" s="87"/>
      <c r="J213" s="87" t="s">
        <v>90</v>
      </c>
      <c r="K213" s="87"/>
      <c r="L213" s="87"/>
      <c r="M213" s="87"/>
      <c r="N213" s="87" t="s">
        <v>90</v>
      </c>
    </row>
    <row r="214" spans="1:19">
      <c r="A214" s="8"/>
      <c r="H214" t="s">
        <v>91</v>
      </c>
      <c r="I214" s="87">
        <f ca="1">RANDBETWEEN(50300,150000)</f>
        <v>120662</v>
      </c>
      <c r="J214" s="87"/>
      <c r="K214" s="87"/>
      <c r="L214" s="87" t="s">
        <v>91</v>
      </c>
      <c r="M214" s="87">
        <f ca="1">RANDBETWEEN(18000,49000)</f>
        <v>32271</v>
      </c>
      <c r="N214" s="87"/>
    </row>
    <row r="215" spans="1:19" ht="33" customHeight="1">
      <c r="A215" s="13" t="str">
        <f ca="1">"Calculate the net monthly pay for an annual salary of £"&amp;I214&amp;"."</f>
        <v>Calculate the net monthly pay for an annual salary of £120662.</v>
      </c>
      <c r="G215" s="9"/>
      <c r="H215" t="s">
        <v>92</v>
      </c>
      <c r="I215" s="87">
        <v>37700</v>
      </c>
      <c r="J215" s="87">
        <f>I215*0.2</f>
        <v>7540</v>
      </c>
      <c r="K215" s="87"/>
      <c r="L215" s="87" t="s">
        <v>92</v>
      </c>
      <c r="M215" s="87">
        <f ca="1">M214-12570</f>
        <v>19701</v>
      </c>
      <c r="N215" s="118">
        <f ca="1">M215*0.2</f>
        <v>3940.2000000000003</v>
      </c>
    </row>
    <row r="216" spans="1:19" ht="14" customHeight="1">
      <c r="H216" t="s">
        <v>93</v>
      </c>
      <c r="I216" s="87">
        <f ca="1">I214-12570-I215</f>
        <v>70392</v>
      </c>
      <c r="J216" s="87">
        <f ca="1">I216*0.4</f>
        <v>28156.800000000003</v>
      </c>
      <c r="K216" s="87"/>
      <c r="L216" s="87"/>
      <c r="M216" s="87"/>
      <c r="N216" s="87" t="s">
        <v>94</v>
      </c>
    </row>
    <row r="217" spans="1:19" ht="13" customHeight="1">
      <c r="H217"/>
      <c r="I217" s="87" t="s">
        <v>5</v>
      </c>
      <c r="J217" s="118">
        <f ca="1">SUM(J215:J216)</f>
        <v>35696.800000000003</v>
      </c>
      <c r="K217" s="87"/>
      <c r="L217" s="87" t="s">
        <v>92</v>
      </c>
      <c r="M217" s="87">
        <f ca="1">M214-9568</f>
        <v>22703</v>
      </c>
      <c r="N217" s="118">
        <f ca="1">M217*0.12</f>
        <v>2724.3599999999997</v>
      </c>
    </row>
    <row r="218" spans="1:19">
      <c r="A218" s="71" t="s">
        <v>100</v>
      </c>
      <c r="B218" s="71"/>
      <c r="C218" s="71"/>
      <c r="D218" s="71"/>
      <c r="H218"/>
      <c r="I218" s="87"/>
      <c r="J218" s="87" t="s">
        <v>94</v>
      </c>
      <c r="K218" s="87"/>
      <c r="L218" s="87" t="s">
        <v>95</v>
      </c>
      <c r="M218" s="87"/>
      <c r="N218" s="118">
        <f ca="1">N215+N217</f>
        <v>6664.5599999999995</v>
      </c>
    </row>
    <row r="219" spans="1:19">
      <c r="H219" t="s">
        <v>93</v>
      </c>
      <c r="I219" s="87">
        <f ca="1">I214-50270</f>
        <v>70392</v>
      </c>
      <c r="J219" s="87">
        <f ca="1">I219*0.02</f>
        <v>1407.84</v>
      </c>
      <c r="K219" s="87"/>
      <c r="L219" s="87" t="s">
        <v>96</v>
      </c>
      <c r="M219" s="87" t="s">
        <v>97</v>
      </c>
      <c r="N219" s="119">
        <f ca="1">M214-N218</f>
        <v>25606.440000000002</v>
      </c>
    </row>
    <row r="220" spans="1:19" ht="35" customHeight="1">
      <c r="A220" s="68" t="str">
        <f ca="1">"In "&amp;H228&amp;" the RPI was 100. In "&amp;H229&amp;" the RPI was "&amp;I229&amp;". 
An item cost £"&amp;M228&amp;" in "&amp;H228&amp;". How much did it cost in "&amp;H229&amp;"?"</f>
        <v>In 1985 the RPI was 100. In 1992 the RPI was 111.9. 
An item cost £1 in 1985. How much did it cost in 1992?</v>
      </c>
      <c r="B220" s="68"/>
      <c r="C220" s="68"/>
      <c r="D220" s="68"/>
      <c r="E220" s="68"/>
      <c r="F220" s="68"/>
      <c r="G220" s="9"/>
      <c r="H220" t="s">
        <v>92</v>
      </c>
      <c r="I220" s="87">
        <f>50270-9568</f>
        <v>40702</v>
      </c>
      <c r="J220" s="87">
        <f>I220*0.12</f>
        <v>4884.24</v>
      </c>
      <c r="K220" s="87"/>
      <c r="L220" s="87"/>
      <c r="M220" s="87" t="s">
        <v>98</v>
      </c>
      <c r="N220" s="120">
        <f ca="1">N219/12</f>
        <v>2133.8700000000003</v>
      </c>
    </row>
    <row r="221" spans="1:19">
      <c r="H221"/>
      <c r="I221" s="87" t="s">
        <v>5</v>
      </c>
      <c r="J221" s="118">
        <f ca="1">SUM(J219:J220)</f>
        <v>6292.08</v>
      </c>
      <c r="K221" s="87"/>
      <c r="L221" s="87"/>
      <c r="M221" s="87" t="s">
        <v>99</v>
      </c>
      <c r="N221" s="121">
        <f ca="1">N219/52</f>
        <v>492.43153846153848</v>
      </c>
    </row>
    <row r="222" spans="1:19" ht="34" customHeight="1">
      <c r="A222" s="68" t="str">
        <f ca="1">"In "&amp;H229&amp;" the RPI was "&amp;I229&amp;".  In "&amp;H230&amp;" the RPI was "&amp;I230&amp;".  
An item cost £"&amp;N229&amp;"0 in "&amp;H229&amp;". How much did it cost in "&amp;H230&amp;"?"</f>
        <v>In 1992 the RPI was 111.9.  In 1999 the RPI was 117.  
An item cost £19.60 in 1992. How much did it cost in 1999?</v>
      </c>
      <c r="B222" s="68"/>
      <c r="C222" s="68"/>
      <c r="D222" s="68"/>
      <c r="E222" s="68"/>
      <c r="F222" s="68"/>
      <c r="G222" s="9"/>
      <c r="H222" t="s">
        <v>95</v>
      </c>
      <c r="I222" s="87"/>
      <c r="J222" s="118">
        <f ca="1">J217+J221</f>
        <v>41988.880000000005</v>
      </c>
      <c r="K222" s="87"/>
      <c r="L222" s="87"/>
      <c r="M222" s="87"/>
      <c r="N222" s="87"/>
    </row>
    <row r="223" spans="1:19">
      <c r="H223" t="s">
        <v>96</v>
      </c>
      <c r="I223" s="87" t="s">
        <v>97</v>
      </c>
      <c r="J223" s="119">
        <f ca="1">I214-J222</f>
        <v>78673.119999999995</v>
      </c>
      <c r="K223" s="87"/>
      <c r="L223" s="87"/>
      <c r="M223" s="87"/>
      <c r="N223" s="87"/>
    </row>
    <row r="224" spans="1:19" ht="31" customHeight="1">
      <c r="A224" s="68" t="str">
        <f ca="1">"In "&amp;H229&amp;" the RPI was "&amp;I229&amp;".  In "&amp;H230&amp;" the RPI was "&amp;I230&amp;".  
An item cost £"&amp;O230&amp;"0 in "&amp;H230&amp;". How much did it cost in "&amp;H229&amp;"?"</f>
        <v>In 1992 the RPI was 111.9.  In 1999 the RPI was 117.  
An item cost £15.40 in 1999. How much did it cost in 1992?</v>
      </c>
      <c r="B224" s="68"/>
      <c r="C224" s="68"/>
      <c r="D224" s="68"/>
      <c r="E224" s="68"/>
      <c r="F224" s="68"/>
      <c r="G224" s="9"/>
      <c r="H224"/>
      <c r="I224" s="87" t="s">
        <v>98</v>
      </c>
      <c r="J224" s="121">
        <f ca="1">J223/12</f>
        <v>6556.0933333333332</v>
      </c>
      <c r="K224" s="87"/>
      <c r="L224" s="87"/>
      <c r="M224" s="87"/>
      <c r="N224" s="87"/>
    </row>
    <row r="225" spans="1:30">
      <c r="H225"/>
      <c r="I225" s="87" t="s">
        <v>99</v>
      </c>
      <c r="J225" s="120">
        <f ca="1">J223/52</f>
        <v>1512.9446153846152</v>
      </c>
      <c r="K225" s="87"/>
      <c r="L225" s="87"/>
      <c r="M225" s="87"/>
      <c r="N225" s="87"/>
    </row>
    <row r="226" spans="1:30" ht="36" customHeight="1">
      <c r="A226" s="68" t="str">
        <f ca="1">"In "&amp;H228&amp;" the RPI was 100. In "&amp;H229&amp;" the RPI was "&amp;I229&amp;".  
What was the inflation rate between "&amp;H228&amp;" and "&amp;H229&amp;"?"</f>
        <v>In 1985 the RPI was 100. In 1992 the RPI was 111.9.  
What was the inflation rate between 1985 and 1992?</v>
      </c>
      <c r="B226" s="68"/>
      <c r="C226" s="68"/>
      <c r="D226" s="68"/>
      <c r="E226" s="68"/>
      <c r="F226" s="68"/>
      <c r="G226" s="9"/>
    </row>
    <row r="227" spans="1:30">
      <c r="H227" s="3" t="s">
        <v>101</v>
      </c>
      <c r="I227" s="101" t="s">
        <v>100</v>
      </c>
      <c r="J227" s="87" t="s">
        <v>163</v>
      </c>
      <c r="K227" s="87"/>
      <c r="L227" s="87"/>
      <c r="M227" s="87" t="s">
        <v>102</v>
      </c>
      <c r="N227" s="87" t="s">
        <v>103</v>
      </c>
      <c r="O227" s="87" t="s">
        <v>104</v>
      </c>
    </row>
    <row r="228" spans="1:30" ht="36" customHeight="1">
      <c r="A228" s="68" t="str">
        <f ca="1">"In "&amp;H229&amp;" the RPI was "&amp;I229&amp;".  In "&amp;H230&amp;" the RPI was "&amp;I230&amp;".  
What was the inflation rate between "&amp;H229&amp;" and "&amp;H230&amp;"?"</f>
        <v>In 1992 the RPI was 111.9.  In 1999 the RPI was 117.  
What was the inflation rate between 1992 and 1999?</v>
      </c>
      <c r="B228" s="68"/>
      <c r="C228" s="68"/>
      <c r="D228" s="68"/>
      <c r="E228" s="68"/>
      <c r="F228" s="68"/>
      <c r="G228" s="9"/>
      <c r="H228" s="39">
        <f ca="1">RANDBETWEEN(1980,2005)</f>
        <v>1985</v>
      </c>
      <c r="I228" s="101">
        <v>100</v>
      </c>
      <c r="J228" s="110">
        <f ca="1">(I229/I228-1)*100</f>
        <v>11.899999999999999</v>
      </c>
      <c r="K228" s="87">
        <f ca="1">I229/I228</f>
        <v>1.119</v>
      </c>
      <c r="L228" s="87" t="s">
        <v>105</v>
      </c>
      <c r="M228" s="87">
        <f ca="1">RANDBETWEEN(1,5)</f>
        <v>1</v>
      </c>
      <c r="N228" s="110">
        <f ca="1">ROUND(M228*K228,2)</f>
        <v>1.1200000000000001</v>
      </c>
      <c r="O228" s="87"/>
    </row>
    <row r="229" spans="1:30" ht="34" customHeight="1">
      <c r="A229" s="68" t="str">
        <f ca="1">"What was the average annual inflation rate between "&amp;H229&amp;" and "&amp;H230&amp;"?
(Correct to 1 decimal place)"</f>
        <v>What was the average annual inflation rate between 1992 and 1999?
(Correct to 1 decimal place)</v>
      </c>
      <c r="B229" s="68"/>
      <c r="C229" s="68"/>
      <c r="D229" s="68"/>
      <c r="E229" s="68"/>
      <c r="F229" s="72"/>
      <c r="G229" s="9"/>
      <c r="H229" s="39">
        <f ca="1">H228+RANDBETWEEN(5,10)</f>
        <v>1992</v>
      </c>
      <c r="I229" s="101">
        <f ca="1">RANDBETWEEN(1030,1150)/10</f>
        <v>111.9</v>
      </c>
      <c r="J229" s="110">
        <f ca="1">ROUND((K229-1)*100,1)</f>
        <v>4.5999999999999996</v>
      </c>
      <c r="K229" s="87">
        <f ca="1">I230/I229</f>
        <v>1.0455764075067024</v>
      </c>
      <c r="L229" s="87" t="s">
        <v>106</v>
      </c>
      <c r="M229" s="87"/>
      <c r="N229" s="111">
        <f ca="1">RANDBETWEEN(10,500)/10</f>
        <v>19.600000000000001</v>
      </c>
      <c r="O229" s="110">
        <f ca="1">ROUND(N229*K229,2)</f>
        <v>20.49</v>
      </c>
    </row>
    <row r="230" spans="1:30" ht="46" customHeight="1">
      <c r="H230" s="39">
        <f ca="1">H229+RANDBETWEEN(5,10)</f>
        <v>1999</v>
      </c>
      <c r="I230" s="101">
        <f ca="1">I229+RANDBETWEEN(50,120)/10</f>
        <v>117</v>
      </c>
      <c r="J230" s="122">
        <f ca="1">MROUND(J229/(H230-H229),0.1)</f>
        <v>0.70000000000000007</v>
      </c>
      <c r="K230" s="87"/>
      <c r="L230" s="87" t="s">
        <v>107</v>
      </c>
      <c r="M230" s="87"/>
      <c r="N230" s="110">
        <f ca="1">ROUND(O230/K229,2)</f>
        <v>14.73</v>
      </c>
      <c r="O230" s="111">
        <f ca="1">RANDBETWEEN(10,500)/10</f>
        <v>15.4</v>
      </c>
    </row>
    <row r="231" spans="1:30">
      <c r="A231" s="71" t="s">
        <v>108</v>
      </c>
      <c r="B231" s="71"/>
      <c r="C231" s="71"/>
      <c r="D231" s="71"/>
      <c r="E231" s="1" t="s">
        <v>127</v>
      </c>
    </row>
    <row r="232" spans="1:30" ht="11" customHeight="1"/>
    <row r="233" spans="1:30" customFormat="1" ht="48" customHeight="1">
      <c r="A233" s="68" t="str">
        <f ca="1">"A random variable X is normal distributed with mean "&amp;K234&amp;" and standard deviation "&amp;L234&amp;".
Calculate the probability that X is less than "&amp;M234&amp;"."</f>
        <v>A random variable X is normal distributed with mean 3.4 and standard deviation 0.4.
Calculate the probability that X is less than 3.4.</v>
      </c>
      <c r="B233" s="68"/>
      <c r="C233" s="68"/>
      <c r="D233" s="68"/>
      <c r="E233" s="68"/>
      <c r="F233" s="68"/>
      <c r="G233" s="33"/>
      <c r="H233" t="s">
        <v>119</v>
      </c>
      <c r="I233" s="123" t="s">
        <v>120</v>
      </c>
      <c r="J233" s="123" t="s">
        <v>121</v>
      </c>
      <c r="K233" s="87" t="s">
        <v>38</v>
      </c>
      <c r="L233" s="87" t="s">
        <v>122</v>
      </c>
      <c r="M233" s="87" t="s">
        <v>123</v>
      </c>
      <c r="N233" s="87"/>
      <c r="O233" s="87" t="s">
        <v>124</v>
      </c>
      <c r="P233" t="s">
        <v>125</v>
      </c>
      <c r="Q233" t="s">
        <v>126</v>
      </c>
      <c r="R233" s="2"/>
      <c r="S233" s="2"/>
    </row>
    <row r="234" spans="1:30" ht="15" customHeight="1">
      <c r="H234" s="66">
        <f ca="1">ROUND(_xlfn.NORM.DIST(O234,0,1,TRUE),4)</f>
        <v>0.5</v>
      </c>
      <c r="I234" s="124" t="s">
        <v>109</v>
      </c>
      <c r="J234" s="124" t="s">
        <v>110</v>
      </c>
      <c r="K234" s="87">
        <f ca="1">CHOOSE(RANDBETWEEN(1,3),RANDBETWEEN(1,1000),RANDBETWEEN(1,10),RANDBETWEEN(1,100)/10)</f>
        <v>3.4</v>
      </c>
      <c r="L234" s="112">
        <f ca="1">MROUND((K234/RANDBETWEEN(4,15)),0.1)</f>
        <v>0.4</v>
      </c>
      <c r="M234" s="112">
        <f ca="1">MROUND((K234+L234*RANDBETWEEN(1,300)/100),0.1)</f>
        <v>3.4000000000000004</v>
      </c>
      <c r="N234" s="112"/>
      <c r="O234" s="111">
        <f ca="1">ROUND((M234-K234)/L234,2)</f>
        <v>0</v>
      </c>
      <c r="P234"/>
      <c r="Q234"/>
      <c r="R234"/>
      <c r="S234"/>
    </row>
    <row r="235" spans="1:30" ht="48" customHeight="1">
      <c r="A235" s="68" t="str">
        <f ca="1">"A random variable X is normal distributed with mean "&amp;K236&amp;" and standard deviation "&amp;L236&amp;".
Calculate the probability that X is greater than "&amp;M236&amp;"."</f>
        <v>A random variable X is normal distributed with mean 5.9 and standard deviation 0.7.
Calculate the probability that X is greater than 4.8.</v>
      </c>
      <c r="B235" s="68"/>
      <c r="C235" s="68"/>
      <c r="D235" s="68"/>
      <c r="E235" s="68"/>
      <c r="F235" s="68"/>
      <c r="G235" s="33"/>
    </row>
    <row r="236" spans="1:30" ht="15" customHeight="1">
      <c r="H236" s="66">
        <f ca="1">ROUND(1-_xlfn.NORM.DIST(O236,0,1,TRUE),4)</f>
        <v>0.94179999999999997</v>
      </c>
      <c r="I236" s="124" t="s">
        <v>109</v>
      </c>
      <c r="J236" s="124" t="s">
        <v>117</v>
      </c>
      <c r="K236" s="87">
        <f ca="1">CHOOSE(RANDBETWEEN(1,3),RANDBETWEEN(1,1000),RANDBETWEEN(1,10),RANDBETWEEN(1,100)/10)</f>
        <v>5.9</v>
      </c>
      <c r="L236" s="112">
        <f ca="1">MROUND((K236/RANDBETWEEN(4,15)),0.1)</f>
        <v>0.70000000000000007</v>
      </c>
      <c r="M236" s="112">
        <f ca="1">MROUND((K236-L236*RANDBETWEEN(1,300)/100),0.1)</f>
        <v>4.8000000000000007</v>
      </c>
      <c r="N236" s="112"/>
      <c r="O236" s="111">
        <f ca="1">ROUND((M236-K236)/L236,2)</f>
        <v>-1.57</v>
      </c>
      <c r="P236"/>
      <c r="Q236"/>
    </row>
    <row r="237" spans="1:30" ht="46" customHeight="1">
      <c r="A237" s="68" t="str">
        <f ca="1">"A random variable X is normal distributed with mean "&amp;K238&amp;" and standard deviation "&amp;L238&amp;".
Calculate the probability that X is less than "&amp;M238&amp;"."</f>
        <v>A random variable X is normal distributed with mean 821 and standard deviation 54.7.
Calculate the probability that X is less than 817.2.</v>
      </c>
      <c r="B237" s="68"/>
      <c r="C237" s="68"/>
      <c r="D237" s="68"/>
      <c r="E237" s="68"/>
      <c r="F237" s="68"/>
      <c r="G237" s="33"/>
      <c r="T237"/>
      <c r="U237"/>
      <c r="V237"/>
    </row>
    <row r="238" spans="1:30" ht="15" customHeight="1">
      <c r="H238" s="66">
        <f ca="1">ROUND(_xlfn.NORM.DIST(O238,0,1,TRUE),4)</f>
        <v>0.47210000000000002</v>
      </c>
      <c r="I238" s="124" t="s">
        <v>109</v>
      </c>
      <c r="J238" s="124" t="s">
        <v>111</v>
      </c>
      <c r="K238" s="87">
        <f t="shared" ref="K238" ca="1" si="11">CHOOSE(RANDBETWEEN(1,3),RANDBETWEEN(1,1000),RANDBETWEEN(1,10),RANDBETWEEN(1,100)/10)</f>
        <v>821</v>
      </c>
      <c r="L238" s="112">
        <f t="shared" ref="L238" ca="1" si="12">MROUND((K238/RANDBETWEEN(4,15)),0.1)</f>
        <v>54.7</v>
      </c>
      <c r="M238" s="112">
        <f ca="1">MROUND((K238-L238*RANDBETWEEN(1,300)/100),0.1)</f>
        <v>817.2</v>
      </c>
      <c r="N238" s="112"/>
      <c r="O238" s="111">
        <f ca="1">ROUND((M238-K238)/L238,2)</f>
        <v>-7.0000000000000007E-2</v>
      </c>
      <c r="P238"/>
      <c r="Q238"/>
      <c r="R238"/>
      <c r="S238"/>
    </row>
    <row r="239" spans="1:30" ht="44" customHeight="1">
      <c r="A239" s="68" t="str">
        <f ca="1">"A random variable X is normal distributed with mean "&amp;K240&amp;" and standard deviation "&amp;L240&amp;".
Calculate the probability that X is greater than "&amp;M240&amp;"."</f>
        <v>A random variable X is normal distributed with mean 8 and standard deviation 0.6.
Calculate the probability that X is greater than 8.1.</v>
      </c>
      <c r="B239" s="68"/>
      <c r="C239" s="68"/>
      <c r="D239" s="68"/>
      <c r="E239" s="68"/>
      <c r="F239" s="68"/>
      <c r="G239" s="33"/>
      <c r="T239"/>
      <c r="U239"/>
      <c r="V239"/>
      <c r="W239"/>
      <c r="X239"/>
      <c r="Y239"/>
      <c r="Z239"/>
      <c r="AA239"/>
      <c r="AB239"/>
      <c r="AC239"/>
      <c r="AD239"/>
    </row>
    <row r="240" spans="1:30" ht="14" customHeight="1">
      <c r="H240" s="66">
        <f ca="1">1-_xlfn.NORM.DIST(M240,K240,L240,TRUE)</f>
        <v>0.43381616738909656</v>
      </c>
      <c r="I240" s="124" t="s">
        <v>109</v>
      </c>
      <c r="J240" s="124" t="s">
        <v>112</v>
      </c>
      <c r="K240" s="87">
        <f t="shared" ref="K240" ca="1" si="13">CHOOSE(RANDBETWEEN(1,3),RANDBETWEEN(1,1000),RANDBETWEEN(1,10),RANDBETWEEN(1,100)/10)</f>
        <v>8</v>
      </c>
      <c r="L240" s="112">
        <f t="shared" ref="L240" ca="1" si="14">MROUND((K240/RANDBETWEEN(4,15)),0.1)</f>
        <v>0.60000000000000009</v>
      </c>
      <c r="M240" s="112">
        <f ca="1">MROUND((K240+L240*RANDBETWEEN(1,300)/100),0.1)</f>
        <v>8.1</v>
      </c>
      <c r="N240" s="112"/>
      <c r="O240" s="111">
        <f ca="1">ROUND((M240-K240)/L240,2)</f>
        <v>0.17</v>
      </c>
      <c r="P240"/>
      <c r="Q240"/>
      <c r="R240"/>
      <c r="S240"/>
    </row>
    <row r="241" spans="1:46" ht="51" customHeight="1">
      <c r="A241" s="68" t="str">
        <f ca="1">"A random variable X is normal distributed with mean "&amp;K242&amp;" and standard deviation "&amp;L242&amp;".
Calculate the probability that X is between "&amp;M242&amp;" and "&amp;N242&amp;"."</f>
        <v>A random variable X is normal distributed with mean 0.9 and standard deviation 0.1.
Calculate the probability that X is between 1.1 and 1.2.</v>
      </c>
      <c r="B241" s="68"/>
      <c r="C241" s="68"/>
      <c r="D241" s="68"/>
      <c r="E241" s="68"/>
      <c r="F241" s="68"/>
      <c r="G241" s="33"/>
      <c r="T241"/>
      <c r="U241"/>
    </row>
    <row r="242" spans="1:46" ht="15" customHeight="1">
      <c r="H242" s="66">
        <f ca="1">ABS(_xlfn.NORM.DIST(M242,K242,L242,TRUE)-_xlfn.NORM.DIST(N242,K242,L242,TRUE))</f>
        <v>2.1400233916549105E-2</v>
      </c>
      <c r="I242" s="124" t="s">
        <v>109</v>
      </c>
      <c r="J242" s="124" t="s">
        <v>113</v>
      </c>
      <c r="K242" s="87">
        <f t="shared" ref="K242" ca="1" si="15">CHOOSE(RANDBETWEEN(1,3),RANDBETWEEN(1,1000),RANDBETWEEN(1,10),RANDBETWEEN(1,100)/10)</f>
        <v>0.9</v>
      </c>
      <c r="L242" s="112">
        <f t="shared" ref="L242" ca="1" si="16">MROUND((K242/RANDBETWEEN(4,15)),0.1)</f>
        <v>0.1</v>
      </c>
      <c r="M242" s="112">
        <f ca="1">MROUND((K242+L242*RANDBETWEEN(1,300)/100),0.1)</f>
        <v>1.1000000000000001</v>
      </c>
      <c r="N242" s="112">
        <f ca="1">MROUND((K242+L242*RANDBETWEEN(1,300)/100),0.1)</f>
        <v>1.2000000000000002</v>
      </c>
      <c r="O242" s="111">
        <f ca="1">ROUND((M242-K242)/L242,2)</f>
        <v>2</v>
      </c>
      <c r="P242">
        <f ca="1">ROUND((N242-K242)/L242,2)</f>
        <v>3</v>
      </c>
      <c r="Q242"/>
      <c r="R242"/>
      <c r="S242"/>
    </row>
    <row r="243" spans="1:46" ht="50" customHeight="1">
      <c r="A243" s="68" t="str">
        <f ca="1">"A random variable X is normal distributed with mean "&amp;K244&amp;" and standard deviation "&amp;L244&amp;".
Calculate the probability that X is between "&amp;M244&amp;" and "&amp;N244&amp;"."</f>
        <v>A random variable X is normal distributed with mean 2 and standard deviation 0.2.
Calculate the probability that X is between 2.5 and 1.4.</v>
      </c>
      <c r="B243" s="68"/>
      <c r="C243" s="68"/>
      <c r="D243" s="68"/>
      <c r="E243" s="68"/>
      <c r="F243" s="68"/>
      <c r="G243" s="33"/>
      <c r="T243"/>
      <c r="U243"/>
      <c r="V243"/>
    </row>
    <row r="244" spans="1:46" ht="16" customHeight="1">
      <c r="H244" s="66">
        <f ca="1">ABS(_xlfn.NORM.DIST(M244,K244,L244,TRUE)-(_xlfn.NORM.DIST(N244,K244,L244,TRUE)))</f>
        <v>0.99244043664259374</v>
      </c>
      <c r="I244" s="124" t="s">
        <v>109</v>
      </c>
      <c r="J244" s="124" t="s">
        <v>114</v>
      </c>
      <c r="K244" s="87">
        <f t="shared" ref="K244" ca="1" si="17">CHOOSE(RANDBETWEEN(1,3),RANDBETWEEN(1,1000),RANDBETWEEN(1,10),RANDBETWEEN(1,100)/10)</f>
        <v>2</v>
      </c>
      <c r="L244" s="112">
        <f t="shared" ref="L244" ca="1" si="18">MROUND((K244/RANDBETWEEN(4,15)),0.1)</f>
        <v>0.2</v>
      </c>
      <c r="M244" s="112">
        <f ca="1">MROUND((K244+L244*RANDBETWEEN(1,300)/100),0.1)</f>
        <v>2.5</v>
      </c>
      <c r="N244" s="111">
        <f ca="1">MROUND((K244-L244*RANDBETWEEN(1,300)/100),0.1)</f>
        <v>1.4000000000000001</v>
      </c>
      <c r="O244" s="111">
        <f ca="1">ROUND((M244-K244)/L244,2)</f>
        <v>2.5</v>
      </c>
      <c r="P244" s="17">
        <f ca="1">ROUND((N244-K244)/L244,2)</f>
        <v>-3</v>
      </c>
      <c r="Q244"/>
      <c r="R244"/>
      <c r="S244"/>
    </row>
    <row r="245" spans="1:46" ht="49" customHeight="1">
      <c r="A245" s="68" t="str">
        <f ca="1">"A random variable X is normal distributed with mean "&amp;K246&amp;" and standard deviation "&amp;L246&amp;".
Calculate the probability that X is between "&amp;M246&amp;" and "&amp;N246&amp;"."</f>
        <v>A random variable X is normal distributed with mean 5.4 and standard deviation 0.4.
Calculate the probability that X is between 4.6 and 5.3.</v>
      </c>
      <c r="B245" s="68"/>
      <c r="C245" s="68"/>
      <c r="D245" s="68"/>
      <c r="E245" s="68"/>
      <c r="F245" s="68"/>
      <c r="G245" s="33"/>
    </row>
    <row r="246" spans="1:46" ht="14" customHeight="1">
      <c r="H246" s="66">
        <f ca="1">ABS(_xlfn.NORM.DIST(M246,K246,L246,TRUE)-_xlfn.NORM.DIST(N246,K246,L246,TRUE))</f>
        <v>0.37854354236889742</v>
      </c>
      <c r="I246" s="124" t="s">
        <v>109</v>
      </c>
      <c r="J246" s="124" t="s">
        <v>115</v>
      </c>
      <c r="K246" s="87">
        <f t="shared" ref="K246" ca="1" si="19">CHOOSE(RANDBETWEEN(1,3),RANDBETWEEN(1,1000),RANDBETWEEN(1,10),RANDBETWEEN(1,100)/10)</f>
        <v>5.4</v>
      </c>
      <c r="L246" s="112">
        <f t="shared" ref="L246" ca="1" si="20">MROUND((K246/RANDBETWEEN(4,15)),0.1)</f>
        <v>0.4</v>
      </c>
      <c r="M246" s="112">
        <f ca="1">MROUND((K246-L246*RANDBETWEEN(1,300)/100),0.1)</f>
        <v>4.6000000000000005</v>
      </c>
      <c r="N246" s="111">
        <f ca="1">MROUND((K246-L246*RANDBETWEEN(1,300)/100),0.1)</f>
        <v>5.3000000000000007</v>
      </c>
      <c r="O246" s="111">
        <f ca="1">ROUND((M246-K246)/L246,2)</f>
        <v>-2</v>
      </c>
      <c r="P246" s="17">
        <f ca="1">ROUND((N246-K246)/L246,2)</f>
        <v>-0.25</v>
      </c>
      <c r="Q246"/>
      <c r="R246"/>
      <c r="S246"/>
    </row>
    <row r="247" spans="1:46" ht="43" customHeight="1">
      <c r="A247" s="68" t="str">
        <f ca="1">"A random variable X is normal distributed with mean "&amp;K248&amp;" and standard deviation "&amp;L248&amp;".
The probability that x is less than a value is "&amp;Q248&amp;"%.  What is this value?"</f>
        <v>A random variable X is normal distributed with mean 220 and standard deviation 24.4.
The probability that x is less than a value is 98%.  What is this value?</v>
      </c>
      <c r="B247" s="68"/>
      <c r="C247" s="68"/>
      <c r="D247" s="68"/>
      <c r="E247" s="68"/>
      <c r="F247" s="68"/>
      <c r="G247" s="33"/>
    </row>
    <row r="248" spans="1:46" ht="14" customHeight="1">
      <c r="H248" s="43">
        <f ca="1">M248</f>
        <v>270.11</v>
      </c>
      <c r="I248" s="124" t="s">
        <v>116</v>
      </c>
      <c r="J248" s="124" t="s">
        <v>110</v>
      </c>
      <c r="K248" s="87">
        <f t="shared" ref="K248" ca="1" si="21">CHOOSE(RANDBETWEEN(1,3),RANDBETWEEN(1,1000),RANDBETWEEN(1,10),RANDBETWEEN(1,100)/10)</f>
        <v>220</v>
      </c>
      <c r="L248" s="112">
        <f t="shared" ref="L248" ca="1" si="22">MROUND((K248/RANDBETWEEN(4,15)),0.1)</f>
        <v>24.400000000000002</v>
      </c>
      <c r="M248" s="63">
        <f ca="1">ROUND(O248*L248+K248,2)</f>
        <v>270.11</v>
      </c>
      <c r="N248" s="87">
        <f ca="1">MROUND(_xlfn.NORM.INV(Q248/100,K248,L248),0.01)</f>
        <v>270.11</v>
      </c>
      <c r="O248" s="87">
        <f ca="1">ROUND(_xlfn.NORM.INV(Q248/100,0,1),4)</f>
        <v>2.0537000000000001</v>
      </c>
      <c r="P248"/>
      <c r="Q248">
        <f ca="1">RANDBETWEEN(51,100)</f>
        <v>98</v>
      </c>
      <c r="R248"/>
      <c r="S248"/>
    </row>
    <row r="249" spans="1:46" ht="47" customHeight="1">
      <c r="A249" s="68" t="str">
        <f ca="1">"A random variable X is normal distributed with mean "&amp;K250&amp;" and standard deviation "&amp;L250&amp;".
The probability that x is greater than a value is "&amp;Q250&amp;"%.  What is this value?"</f>
        <v>A random variable X is normal distributed with mean 9 and standard deviation 0.6.
The probability that x is greater than a value is 32%.  What is this value?</v>
      </c>
      <c r="B249" s="68"/>
      <c r="C249" s="68"/>
      <c r="D249" s="68"/>
      <c r="E249" s="68"/>
      <c r="F249" s="68"/>
      <c r="G249" s="33"/>
    </row>
    <row r="250" spans="1:46" ht="14" customHeight="1">
      <c r="H250" s="43">
        <f ca="1">M250</f>
        <v>9.2799999999999994</v>
      </c>
      <c r="I250" s="124" t="s">
        <v>116</v>
      </c>
      <c r="J250" s="124" t="s">
        <v>112</v>
      </c>
      <c r="K250" s="87">
        <f t="shared" ref="K250" ca="1" si="23">CHOOSE(RANDBETWEEN(1,3),RANDBETWEEN(1,1000),RANDBETWEEN(1,10),RANDBETWEEN(1,100)/10)</f>
        <v>9</v>
      </c>
      <c r="L250" s="112">
        <f t="shared" ref="L250" ca="1" si="24">MROUND((K250/RANDBETWEEN(4,15)),0.1)</f>
        <v>0.60000000000000009</v>
      </c>
      <c r="M250" s="63">
        <f ca="1">ROUND(O250*L250+K250,2)</f>
        <v>9.2799999999999994</v>
      </c>
      <c r="N250" s="87">
        <f ca="1">MROUND(_xlfn.NORM.INV((100-Q250)/100,K250,L250),0.01)</f>
        <v>9.2799999999999994</v>
      </c>
      <c r="O250" s="87">
        <f ca="1">ROUND(_xlfn.NORM.INV((100-Q250)/100,0,1),4)</f>
        <v>0.4677</v>
      </c>
      <c r="P250"/>
      <c r="Q250">
        <f ca="1">RANDBETWEEN(0,49)</f>
        <v>32</v>
      </c>
      <c r="R250"/>
      <c r="S250"/>
    </row>
    <row r="251" spans="1:46" ht="48" customHeight="1">
      <c r="A251" s="68" t="str">
        <f ca="1">"A random variable X is normal distributed with mean "&amp;K252&amp;" and standard deviation "&amp;L252&amp;".
The probability that x is less than a value is "&amp;Q252&amp;"%.  What is this value?"</f>
        <v>A random variable X is normal distributed with mean 771 and standard deviation 70.1.
The probability that x is less than a value is 30%.  What is this value?</v>
      </c>
      <c r="B251" s="68"/>
      <c r="C251" s="68"/>
      <c r="D251" s="68"/>
      <c r="E251" s="68"/>
      <c r="F251" s="68"/>
      <c r="G251" s="33"/>
    </row>
    <row r="252" spans="1:46" ht="15" customHeight="1">
      <c r="H252" s="43">
        <f ca="1">M252</f>
        <v>734.24</v>
      </c>
      <c r="I252" s="124" t="s">
        <v>116</v>
      </c>
      <c r="J252" s="124" t="s">
        <v>111</v>
      </c>
      <c r="K252" s="87">
        <f t="shared" ref="K252" ca="1" si="25">CHOOSE(RANDBETWEEN(1,3),RANDBETWEEN(1,1000),RANDBETWEEN(1,10),RANDBETWEEN(1,100)/10)</f>
        <v>771</v>
      </c>
      <c r="L252" s="112">
        <f t="shared" ref="L252" ca="1" si="26">MROUND((K252/RANDBETWEEN(4,15)),0.1)</f>
        <v>70.100000000000009</v>
      </c>
      <c r="M252" s="63">
        <f ca="1">ROUND(O252*L252+K252,2)</f>
        <v>734.24</v>
      </c>
      <c r="N252" s="87">
        <f ca="1">ROUND(_xlfn.NORM.INV(Q252/100,K252,L252),2)</f>
        <v>734.24</v>
      </c>
      <c r="O252" s="87">
        <f ca="1">ROUND(_xlfn.NORM.INV(Q252/100,0,1),4)</f>
        <v>-0.52439999999999998</v>
      </c>
      <c r="P252"/>
      <c r="Q252">
        <f ca="1">RANDBETWEEN(0,49)</f>
        <v>30</v>
      </c>
      <c r="R252"/>
      <c r="S252"/>
    </row>
    <row r="253" spans="1:46" ht="51" customHeight="1">
      <c r="A253" s="68" t="str">
        <f ca="1">"A random variable X is normal distributed with mean "&amp;K254&amp;" and standard deviation "&amp;L254&amp;".
The probability that x is greater than a value is "&amp;Q254&amp;"%.  What is this value?"</f>
        <v>A random variable X is normal distributed with mean 352 and standard deviation 88.
The probability that x is greater than a value is 56%.  What is this value?</v>
      </c>
      <c r="B253" s="68"/>
      <c r="C253" s="68"/>
      <c r="D253" s="68"/>
      <c r="E253" s="68"/>
      <c r="F253" s="68"/>
      <c r="G253" s="3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</row>
    <row r="254" spans="1:46" ht="14" customHeight="1">
      <c r="H254" s="43">
        <f ca="1">M254</f>
        <v>338.8</v>
      </c>
      <c r="I254" s="124" t="s">
        <v>116</v>
      </c>
      <c r="J254" s="124" t="s">
        <v>117</v>
      </c>
      <c r="K254" s="87">
        <f t="shared" ref="K254" ca="1" si="27">CHOOSE(RANDBETWEEN(1,3),RANDBETWEEN(1,1000),RANDBETWEEN(1,10),RANDBETWEEN(1,100)/10)</f>
        <v>352</v>
      </c>
      <c r="L254" s="112">
        <f t="shared" ref="L254" ca="1" si="28">MROUND((K254/RANDBETWEEN(4,15)),0.1)</f>
        <v>88</v>
      </c>
      <c r="M254" s="63">
        <f ca="1">ROUND(O254*L254+K254,2)</f>
        <v>338.8</v>
      </c>
      <c r="N254" s="87">
        <f ca="1">MROUND(_xlfn.NORM.INV(Q254/100,K254,L254),0.01)</f>
        <v>365.29</v>
      </c>
      <c r="O254" s="87">
        <f ca="1">ROUND(_xlfn.NORM.INV((100-Q254)/100,0,1),2)</f>
        <v>-0.15</v>
      </c>
      <c r="P254"/>
      <c r="Q254">
        <f ca="1">RANDBETWEEN(51,100)</f>
        <v>56</v>
      </c>
      <c r="R254"/>
      <c r="S254"/>
    </row>
    <row r="255" spans="1:46" ht="50" customHeight="1">
      <c r="A255" s="69" t="str">
        <f ca="1">"In a sample of "&amp;M256&amp;" items, the mean is μ and standard deviation is "&amp;L256&amp;".  
The total value of these items is "&amp;N256&amp;". 
Construct a "&amp;O256&amp;"% confidence interval for μ in the form [ , ]"</f>
        <v>In a sample of 95 items, the mean is μ and standard deviation is 28.9.  
The total value of these items is 30210. 
Construct a 99% confidence interval for μ in the form [ , ]</v>
      </c>
      <c r="B255" s="69"/>
      <c r="C255" s="69"/>
      <c r="D255" s="69"/>
      <c r="E255" s="69"/>
      <c r="F255" s="69"/>
      <c r="G255" s="33"/>
      <c r="T255"/>
    </row>
    <row r="256" spans="1:46" ht="51">
      <c r="H256" s="43" t="str">
        <f ca="1">"["&amp;Q256&amp;","&amp;R256&amp;"]"</f>
        <v>[310.35,325.65]</v>
      </c>
      <c r="I256" s="124" t="s">
        <v>108</v>
      </c>
      <c r="J256" s="124" t="s">
        <v>118</v>
      </c>
      <c r="K256" s="87">
        <f t="shared" ref="K256" ca="1" si="29">CHOOSE(RANDBETWEEN(1,3),RANDBETWEEN(1,1000),RANDBETWEEN(1,10),RANDBETWEEN(1,100)/10)</f>
        <v>318</v>
      </c>
      <c r="L256" s="112">
        <f t="shared" ref="L256" ca="1" si="30">MROUND((K256/RANDBETWEEN(4,15)),0.1)</f>
        <v>28.900000000000002</v>
      </c>
      <c r="M256" s="87">
        <f ca="1">MROUND(RANDBETWEEN(15,100),5)</f>
        <v>95</v>
      </c>
      <c r="N256" s="87">
        <f ca="1">K256*M256</f>
        <v>30210</v>
      </c>
      <c r="O256" s="87">
        <f ca="1">CHOOSE(RANDBETWEEN(1,3),90,95,99)</f>
        <v>99</v>
      </c>
      <c r="P256">
        <f ca="1">IF(O256=99,2.58,(IF(O256=95,1.96,1.6449)))</f>
        <v>2.58</v>
      </c>
      <c r="Q256" s="17">
        <f ca="1">MROUND((K256-P256*(L256/SQRT(M256))),0.01)</f>
        <v>310.35000000000002</v>
      </c>
      <c r="R256">
        <f ca="1">MROUND((K256+P256*(L256/SQRT(M256))),0.01)</f>
        <v>325.65000000000003</v>
      </c>
      <c r="S256"/>
    </row>
    <row r="258" spans="1:31">
      <c r="A258" s="71" t="s">
        <v>142</v>
      </c>
      <c r="B258" s="71"/>
      <c r="C258" s="71"/>
      <c r="D258" s="71"/>
      <c r="E258" s="2" t="s">
        <v>144</v>
      </c>
    </row>
    <row r="260" spans="1:31" ht="51" customHeight="1">
      <c r="A260" s="68" t="str">
        <f ca="1">"Find the Product Moment Correlation Coefficient for the following data:
x:   "&amp;K260&amp;"   "&amp;L260&amp;"   "&amp;M260&amp;"   "&amp;N260&amp;"   "&amp;O260&amp;"   "&amp;P260&amp;"   "&amp;Q260&amp;"   "&amp;R260&amp;"   "&amp;S260&amp;"   "&amp;T260&amp;"  
y: "&amp;U260&amp;"   "&amp;V260&amp;"   "&amp;W260&amp;"   "&amp;X260&amp;"   "&amp;Y260&amp;"   "&amp;Z260&amp;"   "&amp;AA260&amp;"   "&amp;AB260&amp;"   "&amp;AC260&amp;"   "&amp;AD260</f>
        <v>Find the Product Moment Correlation Coefficient for the following data:
x:   1   12   17   35   27   45   44   55   40   52  
y: 19   18   14   18   31   41   41   50   54   63</v>
      </c>
      <c r="B260" s="68"/>
      <c r="C260" s="68"/>
      <c r="D260" s="68"/>
      <c r="E260" s="68"/>
      <c r="F260" s="68"/>
      <c r="G260" s="42"/>
      <c r="H260" s="43">
        <f ca="1">ROUND(PEARSON(K260:T260,U260:AD260),2)</f>
        <v>0.82</v>
      </c>
      <c r="K260" s="87">
        <f ca="1">RANDBETWEEN(1,9)</f>
        <v>1</v>
      </c>
      <c r="L260" s="87">
        <f ca="1">RANDBETWEEN(5,25)</f>
        <v>12</v>
      </c>
      <c r="M260" s="87">
        <f ca="1">RANDBETWEEN(10,30)</f>
        <v>17</v>
      </c>
      <c r="N260" s="87">
        <f ca="1">RANDBETWEEN(5,35)</f>
        <v>35</v>
      </c>
      <c r="O260" s="87">
        <f ca="1">RANDBETWEEN(20,40)</f>
        <v>27</v>
      </c>
      <c r="P260">
        <f ca="1">RANDBETWEEN(25,45)</f>
        <v>45</v>
      </c>
      <c r="Q260">
        <f ca="1">RANDBETWEEN(30,50)</f>
        <v>44</v>
      </c>
      <c r="R260">
        <f ca="1">RANDBETWEEN(15,55)</f>
        <v>55</v>
      </c>
      <c r="S260">
        <f ca="1">RANDBETWEEN(40,60)</f>
        <v>40</v>
      </c>
      <c r="T260">
        <f ca="1">RANDBETWEEN(45,65)</f>
        <v>52</v>
      </c>
      <c r="U260">
        <f ca="1">RANDBETWEEN(10,30)</f>
        <v>19</v>
      </c>
      <c r="V260">
        <f ca="1">RANDBETWEEN(10,25)</f>
        <v>18</v>
      </c>
      <c r="W260">
        <f ca="1">RANDBETWEEN(10,30)</f>
        <v>14</v>
      </c>
      <c r="X260">
        <f ca="1">RANDBETWEEN(15,35)</f>
        <v>18</v>
      </c>
      <c r="Y260">
        <f ca="1">RANDBETWEEN(20,40)</f>
        <v>31</v>
      </c>
      <c r="Z260">
        <f ca="1">RANDBETWEEN(25,45)</f>
        <v>41</v>
      </c>
      <c r="AA260">
        <f ca="1">RANDBETWEEN(30,50)</f>
        <v>41</v>
      </c>
      <c r="AB260">
        <f ca="1">RANDBETWEEN(35,55)</f>
        <v>50</v>
      </c>
      <c r="AC260">
        <f ca="1">RANDBETWEEN(20,60)</f>
        <v>54</v>
      </c>
      <c r="AD260">
        <f ca="1">RANDBETWEEN(45,65)</f>
        <v>63</v>
      </c>
    </row>
    <row r="262" spans="1:31" customFormat="1" ht="32" customHeight="1">
      <c r="A262" s="68" t="s">
        <v>143</v>
      </c>
      <c r="B262" s="68"/>
      <c r="C262" s="68"/>
      <c r="D262" s="68"/>
      <c r="E262" s="68"/>
      <c r="F262" s="68"/>
      <c r="G262" s="42"/>
      <c r="H262" s="2"/>
      <c r="I262" s="86"/>
      <c r="J262" s="86"/>
      <c r="K262" s="86"/>
      <c r="L262" s="87"/>
      <c r="M262" s="87"/>
      <c r="N262" s="87"/>
      <c r="O262" s="87"/>
    </row>
    <row r="263" spans="1:31">
      <c r="H263" s="43" t="str">
        <f ca="1">"y="&amp;I263&amp;"+"&amp;J263&amp;"x"</f>
        <v>y=3.07+0.85x</v>
      </c>
      <c r="I263" s="87">
        <f ca="1">ROUND(INTERCEPT(K260:T260,U260:AD260),2)</f>
        <v>3.07</v>
      </c>
      <c r="J263" s="87">
        <f ca="1">ROUND(SLOPE(K260:T260,U260:AD260),2)</f>
        <v>0.85</v>
      </c>
    </row>
    <row r="264" spans="1:31" ht="32" customHeight="1">
      <c r="A264" s="69" t="str">
        <f ca="1">"Another x value is given as "&amp;I265&amp;".  
Use the line of regression to predict the y value."</f>
        <v>Another x value is given as 52.  
Use the line of regression to predict the y value.</v>
      </c>
      <c r="B264" s="69"/>
      <c r="C264" s="69"/>
      <c r="D264" s="69"/>
      <c r="E264" s="69"/>
      <c r="F264" s="70"/>
      <c r="G264" s="42"/>
    </row>
    <row r="265" spans="1:31">
      <c r="H265" s="7">
        <f ca="1">ROUND(I263+L262*I265,2)</f>
        <v>3.07</v>
      </c>
      <c r="I265" s="86" cm="1">
        <f t="array" aca="1" ref="I265" ca="1">RANDBETWEEN(MIN(T260:T260)*10,MAX(T260:T260*10))/10</f>
        <v>52</v>
      </c>
    </row>
    <row r="266" spans="1:31" customFormat="1" ht="52" customHeight="1">
      <c r="A266" s="68" t="str">
        <f ca="1">"Find the Product Moment Correlation Coefficient for the following data:
x:   "&amp;L266&amp;"   "&amp;M266&amp;"   "&amp;N266&amp;"   "&amp;O266&amp;"   "&amp;P266&amp;"   "&amp;Q266&amp;"   "&amp;R266&amp;"   "&amp;S266&amp;"   "&amp;T266&amp;"   "&amp;U266&amp;"  
y: "&amp;V266&amp;"   "&amp;W266&amp;"   "&amp;X266&amp;"   "&amp;Y266&amp;"   "&amp;Z266&amp;"   "&amp;AA266&amp;"   "&amp;AB266&amp;"   "&amp;AC266&amp;"   "&amp;AD266&amp;"   "&amp;AE266</f>
        <v>Find the Product Moment Correlation Coefficient for the following data:
x:   2   10   20   40   24   39   35   36   56   50  
y: 56   49   45   31   30   29   24   21   13   2</v>
      </c>
      <c r="B266" s="68"/>
      <c r="C266" s="68"/>
      <c r="D266" s="68"/>
      <c r="E266" s="68"/>
      <c r="F266" s="68"/>
      <c r="G266" s="42"/>
      <c r="H266" s="2"/>
      <c r="I266" s="86"/>
      <c r="J266" s="86"/>
      <c r="K266" s="87">
        <f ca="1">ROUND(SLOPE(L266:U266,V266:AE266),2)</f>
        <v>-0.95</v>
      </c>
      <c r="L266" s="87">
        <f ca="1">RANDBETWEEN(1,9)</f>
        <v>2</v>
      </c>
      <c r="M266" s="87">
        <f ca="1">RANDBETWEEN(10,25)</f>
        <v>10</v>
      </c>
      <c r="N266" s="87">
        <f ca="1">RANDBETWEEN(10,30)</f>
        <v>20</v>
      </c>
      <c r="O266" s="87">
        <f ca="1">RANDBETWEEN(5,45)</f>
        <v>40</v>
      </c>
      <c r="P266">
        <f ca="1">RANDBETWEEN(20,40)</f>
        <v>24</v>
      </c>
      <c r="Q266">
        <f ca="1">RANDBETWEEN(25,45)</f>
        <v>39</v>
      </c>
      <c r="R266">
        <f ca="1">RANDBETWEEN(30,50)</f>
        <v>35</v>
      </c>
      <c r="S266">
        <f ca="1">RANDBETWEEN(15,55)</f>
        <v>36</v>
      </c>
      <c r="T266">
        <f ca="1">RANDBETWEEN(40,60)</f>
        <v>56</v>
      </c>
      <c r="U266">
        <f ca="1">RANDBETWEEN(25,65)</f>
        <v>50</v>
      </c>
      <c r="V266">
        <f ca="1">RANDBETWEEN(45,65)</f>
        <v>56</v>
      </c>
      <c r="W266">
        <f ca="1">RANDBETWEEN(40,60)</f>
        <v>49</v>
      </c>
      <c r="X266">
        <f ca="1">RANDBETWEEN(35,55)</f>
        <v>45</v>
      </c>
      <c r="Y266">
        <f ca="1">RANDBETWEEN(20,50)</f>
        <v>31</v>
      </c>
      <c r="Z266">
        <f ca="1">RANDBETWEEN(25,45)</f>
        <v>30</v>
      </c>
      <c r="AA266">
        <f ca="1">RANDBETWEEN(20,40)</f>
        <v>29</v>
      </c>
      <c r="AB266">
        <f ca="1">RANDBETWEEN(15,35)</f>
        <v>24</v>
      </c>
      <c r="AC266">
        <f ca="1">RANDBETWEEN(10,30)</f>
        <v>21</v>
      </c>
      <c r="AD266">
        <f ca="1">RANDBETWEEN(5,45)</f>
        <v>13</v>
      </c>
      <c r="AE266">
        <f ca="1">RANDBETWEEN(1,20)</f>
        <v>2</v>
      </c>
    </row>
    <row r="267" spans="1:31">
      <c r="H267" s="43">
        <f ca="1">ROUND(PEARSON(L266:U266,V266:AE266),2)</f>
        <v>-0.92</v>
      </c>
      <c r="J267" s="87">
        <f ca="1">ROUND(INTERCEPT(L266:U266,V266:AE266),2)</f>
        <v>59.84</v>
      </c>
    </row>
    <row r="268" spans="1:31" customFormat="1" ht="25" customHeight="1">
      <c r="A268" s="68" t="s">
        <v>145</v>
      </c>
      <c r="B268" s="68"/>
      <c r="C268" s="68"/>
      <c r="D268" s="68"/>
      <c r="E268" s="68"/>
      <c r="F268" s="68"/>
      <c r="G268" s="42"/>
      <c r="H268" s="2"/>
      <c r="I268" s="86"/>
      <c r="J268" s="86"/>
      <c r="K268" s="86"/>
      <c r="L268" s="87"/>
      <c r="M268" s="87"/>
      <c r="N268" s="87"/>
      <c r="O268" s="87"/>
    </row>
    <row r="269" spans="1:31">
      <c r="H269" s="43" t="str">
        <f ca="1">"y="&amp;I269&amp;J269&amp;"x"</f>
        <v>y=59.84-0.95x</v>
      </c>
      <c r="I269" s="87">
        <f ca="1">ROUND(INTERCEPT(L266:U266,V266:AE266),2)</f>
        <v>59.84</v>
      </c>
      <c r="J269" s="87">
        <f ca="1">ROUND(SLOPE(L266:U266,V266:AE266),2)</f>
        <v>-0.95</v>
      </c>
    </row>
    <row r="270" spans="1:31" ht="32" customHeight="1">
      <c r="A270" s="69" t="str">
        <f ca="1">"Another x value is given as "&amp;I271&amp;".  
Use the line of regression to predict the y value."</f>
        <v>Another x value is given as 17.9.  
Use the line of regression to predict the y value.</v>
      </c>
      <c r="B270" s="69"/>
      <c r="C270" s="69"/>
      <c r="D270" s="69"/>
      <c r="E270" s="69"/>
      <c r="F270" s="70"/>
      <c r="G270" s="42"/>
    </row>
    <row r="271" spans="1:31">
      <c r="H271" s="7">
        <f ca="1">ROUND(I269+L268*I271,2)</f>
        <v>59.84</v>
      </c>
      <c r="I271" s="86" cm="1">
        <f t="array" aca="1" ref="I271" ca="1">RANDBETWEEN(MIN(L266:U266)*10,MAX(L266:U266*10))/10</f>
        <v>17.899999999999999</v>
      </c>
    </row>
    <row r="272" spans="1:31" ht="48" customHeight="1">
      <c r="A272" s="69" t="str">
        <f ca="1">"Another x value is given as "&amp;I273&amp;". 
Would the line of regression give a reliable prediction for the y value?
Explain your reasoning."</f>
        <v>Another x value is given as 0.5. 
Would the line of regression give a reliable prediction for the y value?
Explain your reasoning.</v>
      </c>
      <c r="B272" s="69"/>
      <c r="C272" s="69"/>
      <c r="D272" s="69"/>
      <c r="E272" s="69"/>
      <c r="F272" s="69"/>
      <c r="G272" s="69"/>
    </row>
    <row r="273" spans="9:9">
      <c r="I273" s="86">
        <f ca="1">RANDBETWEEN(0.1,MIN(L266:AE266)*10)/10</f>
        <v>0.5</v>
      </c>
    </row>
  </sheetData>
  <mergeCells count="77">
    <mergeCell ref="B1:F1"/>
    <mergeCell ref="F25:G27"/>
    <mergeCell ref="F52:G54"/>
    <mergeCell ref="C152:D152"/>
    <mergeCell ref="C153:D153"/>
    <mergeCell ref="F77:G78"/>
    <mergeCell ref="A109:G109"/>
    <mergeCell ref="A61:B61"/>
    <mergeCell ref="A64:B64"/>
    <mergeCell ref="A10:E10"/>
    <mergeCell ref="A15:B15"/>
    <mergeCell ref="A156:G156"/>
    <mergeCell ref="A3:C3"/>
    <mergeCell ref="A160:F160"/>
    <mergeCell ref="A17:G17"/>
    <mergeCell ref="A75:G75"/>
    <mergeCell ref="A144:G144"/>
    <mergeCell ref="A145:G145"/>
    <mergeCell ref="C148:D148"/>
    <mergeCell ref="C149:D149"/>
    <mergeCell ref="C150:D150"/>
    <mergeCell ref="C151:D151"/>
    <mergeCell ref="A128:D128"/>
    <mergeCell ref="A130:G130"/>
    <mergeCell ref="A39:B39"/>
    <mergeCell ref="A76:G76"/>
    <mergeCell ref="A185:D185"/>
    <mergeCell ref="A165:D165"/>
    <mergeCell ref="A167:F167"/>
    <mergeCell ref="A169:F169"/>
    <mergeCell ref="A171:F171"/>
    <mergeCell ref="A173:F173"/>
    <mergeCell ref="A175:F175"/>
    <mergeCell ref="A177:F177"/>
    <mergeCell ref="A179:D179"/>
    <mergeCell ref="A181:F181"/>
    <mergeCell ref="A183:F183"/>
    <mergeCell ref="A204:F204"/>
    <mergeCell ref="A206:F206"/>
    <mergeCell ref="A208:F208"/>
    <mergeCell ref="A211:D211"/>
    <mergeCell ref="A187:G187"/>
    <mergeCell ref="A189:F189"/>
    <mergeCell ref="A191:F191"/>
    <mergeCell ref="A193:F193"/>
    <mergeCell ref="A198:D198"/>
    <mergeCell ref="A253:F253"/>
    <mergeCell ref="A255:F255"/>
    <mergeCell ref="A258:D258"/>
    <mergeCell ref="A260:F260"/>
    <mergeCell ref="A241:F241"/>
    <mergeCell ref="A243:F243"/>
    <mergeCell ref="A245:F245"/>
    <mergeCell ref="A247:F247"/>
    <mergeCell ref="A249:F249"/>
    <mergeCell ref="A251:F251"/>
    <mergeCell ref="A229:F229"/>
    <mergeCell ref="A231:D231"/>
    <mergeCell ref="A233:F233"/>
    <mergeCell ref="A235:F235"/>
    <mergeCell ref="A237:F237"/>
    <mergeCell ref="A268:F268"/>
    <mergeCell ref="A264:F264"/>
    <mergeCell ref="A270:F270"/>
    <mergeCell ref="A272:G272"/>
    <mergeCell ref="A83:G83"/>
    <mergeCell ref="A266:F266"/>
    <mergeCell ref="A262:F262"/>
    <mergeCell ref="A239:F239"/>
    <mergeCell ref="A218:D218"/>
    <mergeCell ref="A220:F220"/>
    <mergeCell ref="A222:F222"/>
    <mergeCell ref="A224:F224"/>
    <mergeCell ref="A226:F226"/>
    <mergeCell ref="A228:F228"/>
    <mergeCell ref="A200:F200"/>
    <mergeCell ref="A202:F202"/>
  </mergeCells>
  <conditionalFormatting sqref="G10">
    <cfRule type="cellIs" dxfId="66" priority="74" operator="equal">
      <formula>$K$10</formula>
    </cfRule>
  </conditionalFormatting>
  <conditionalFormatting sqref="G22">
    <cfRule type="cellIs" dxfId="65" priority="73" operator="equal">
      <formula>$I$19</formula>
    </cfRule>
  </conditionalFormatting>
  <conditionalFormatting sqref="G23">
    <cfRule type="cellIs" dxfId="64" priority="72" operator="equal">
      <formula>$I$20</formula>
    </cfRule>
  </conditionalFormatting>
  <conditionalFormatting sqref="G49">
    <cfRule type="cellIs" dxfId="63" priority="69" operator="equal">
      <formula>$I$45</formula>
    </cfRule>
  </conditionalFormatting>
  <conditionalFormatting sqref="G50">
    <cfRule type="cellIs" dxfId="62" priority="68" operator="equal">
      <formula>$I$46</formula>
    </cfRule>
  </conditionalFormatting>
  <conditionalFormatting sqref="G73">
    <cfRule type="cellIs" dxfId="61" priority="67" operator="equal">
      <formula>$J$74</formula>
    </cfRule>
  </conditionalFormatting>
  <conditionalFormatting sqref="G74">
    <cfRule type="cellIs" dxfId="60" priority="66" operator="equal">
      <formula>$J$75</formula>
    </cfRule>
  </conditionalFormatting>
  <conditionalFormatting sqref="G141:G143">
    <cfRule type="cellIs" dxfId="59" priority="65" operator="between">
      <formula>$N$139</formula>
      <formula>$O$139</formula>
    </cfRule>
  </conditionalFormatting>
  <conditionalFormatting sqref="D146">
    <cfRule type="cellIs" dxfId="58" priority="64" operator="equal">
      <formula>$H$150</formula>
    </cfRule>
  </conditionalFormatting>
  <conditionalFormatting sqref="C151:D151">
    <cfRule type="cellIs" dxfId="57" priority="63" operator="equal">
      <formula>$K$147</formula>
    </cfRule>
  </conditionalFormatting>
  <conditionalFormatting sqref="C152:D152">
    <cfRule type="cellIs" dxfId="56" priority="62" operator="equal">
      <formula>$K$148</formula>
    </cfRule>
  </conditionalFormatting>
  <conditionalFormatting sqref="C153:D153">
    <cfRule type="cellIs" dxfId="55" priority="61" operator="equal">
      <formula>$K$149</formula>
    </cfRule>
  </conditionalFormatting>
  <conditionalFormatting sqref="G160">
    <cfRule type="cellIs" dxfId="54" priority="60" operator="equal">
      <formula>$K$161</formula>
    </cfRule>
  </conditionalFormatting>
  <conditionalFormatting sqref="G167">
    <cfRule type="cellIs" dxfId="53" priority="59" operator="equal">
      <formula>$I$168</formula>
    </cfRule>
  </conditionalFormatting>
  <conditionalFormatting sqref="G169">
    <cfRule type="cellIs" dxfId="52" priority="58" operator="equal">
      <formula>$I$170</formula>
    </cfRule>
  </conditionalFormatting>
  <conditionalFormatting sqref="G171">
    <cfRule type="cellIs" dxfId="51" priority="57" operator="equal">
      <formula>$J$172</formula>
    </cfRule>
  </conditionalFormatting>
  <conditionalFormatting sqref="G173">
    <cfRule type="cellIs" dxfId="50" priority="56" operator="equal">
      <formula>$J$174</formula>
    </cfRule>
  </conditionalFormatting>
  <conditionalFormatting sqref="G175">
    <cfRule type="cellIs" dxfId="49" priority="55" operator="equal">
      <formula>$K$176</formula>
    </cfRule>
  </conditionalFormatting>
  <conditionalFormatting sqref="G177">
    <cfRule type="cellIs" dxfId="48" priority="54" operator="equal">
      <formula>$K$178</formula>
    </cfRule>
  </conditionalFormatting>
  <conditionalFormatting sqref="G189">
    <cfRule type="cellIs" dxfId="47" priority="51" operator="equal">
      <formula>$K$190</formula>
    </cfRule>
  </conditionalFormatting>
  <conditionalFormatting sqref="G191">
    <cfRule type="cellIs" dxfId="46" priority="50" operator="equal">
      <formula>$K$192</formula>
    </cfRule>
  </conditionalFormatting>
  <conditionalFormatting sqref="G193">
    <cfRule type="cellIs" dxfId="45" priority="49" operator="equal">
      <formula>$K$194</formula>
    </cfRule>
  </conditionalFormatting>
  <conditionalFormatting sqref="G195:G196">
    <cfRule type="cellIs" dxfId="44" priority="48" operator="equal">
      <formula>$L$195</formula>
    </cfRule>
  </conditionalFormatting>
  <conditionalFormatting sqref="G200">
    <cfRule type="cellIs" dxfId="43" priority="47" operator="equal">
      <formula>$R$201</formula>
    </cfRule>
  </conditionalFormatting>
  <conditionalFormatting sqref="G202">
    <cfRule type="cellIs" dxfId="42" priority="46" operator="equal">
      <formula>$H$203</formula>
    </cfRule>
  </conditionalFormatting>
  <conditionalFormatting sqref="G204">
    <cfRule type="cellIs" dxfId="41" priority="45" operator="equal">
      <formula>$H$205</formula>
    </cfRule>
  </conditionalFormatting>
  <conditionalFormatting sqref="G206">
    <cfRule type="cellIs" dxfId="40" priority="44" operator="equal">
      <formula>$O$207</formula>
    </cfRule>
  </conditionalFormatting>
  <conditionalFormatting sqref="G213">
    <cfRule type="cellIs" dxfId="39" priority="42" operator="equal">
      <formula>$N$220</formula>
    </cfRule>
  </conditionalFormatting>
  <conditionalFormatting sqref="G215">
    <cfRule type="cellIs" dxfId="38" priority="41" operator="equal">
      <formula>$J$224</formula>
    </cfRule>
  </conditionalFormatting>
  <conditionalFormatting sqref="G220">
    <cfRule type="cellIs" dxfId="37" priority="40" operator="equal">
      <formula>$N$228</formula>
    </cfRule>
  </conditionalFormatting>
  <conditionalFormatting sqref="G222">
    <cfRule type="cellIs" dxfId="36" priority="39" operator="equal">
      <formula>$O$229</formula>
    </cfRule>
  </conditionalFormatting>
  <conditionalFormatting sqref="G224">
    <cfRule type="cellIs" dxfId="35" priority="38" operator="equal">
      <formula>$N$230</formula>
    </cfRule>
  </conditionalFormatting>
  <conditionalFormatting sqref="G228">
    <cfRule type="cellIs" dxfId="34" priority="37" operator="equal">
      <formula>$J$229</formula>
    </cfRule>
  </conditionalFormatting>
  <conditionalFormatting sqref="G229">
    <cfRule type="cellIs" dxfId="33" priority="35" operator="equal">
      <formula>$J$230</formula>
    </cfRule>
    <cfRule type="cellIs" dxfId="32" priority="36" operator="equal">
      <formula>$J$230</formula>
    </cfRule>
  </conditionalFormatting>
  <conditionalFormatting sqref="G233">
    <cfRule type="cellIs" dxfId="31" priority="34" operator="equal">
      <formula>$H$234</formula>
    </cfRule>
  </conditionalFormatting>
  <conditionalFormatting sqref="G235">
    <cfRule type="cellIs" dxfId="30" priority="33" operator="equal">
      <formula>$H$236</formula>
    </cfRule>
  </conditionalFormatting>
  <conditionalFormatting sqref="G237">
    <cfRule type="cellIs" dxfId="29" priority="32" operator="equal">
      <formula>$H$238</formula>
    </cfRule>
  </conditionalFormatting>
  <conditionalFormatting sqref="G239">
    <cfRule type="cellIs" dxfId="28" priority="31" operator="equal">
      <formula>$H$240</formula>
    </cfRule>
  </conditionalFormatting>
  <conditionalFormatting sqref="G241">
    <cfRule type="cellIs" dxfId="27" priority="30" operator="equal">
      <formula>$H$242</formula>
    </cfRule>
  </conditionalFormatting>
  <conditionalFormatting sqref="G243">
    <cfRule type="cellIs" dxfId="26" priority="29" operator="equal">
      <formula>$H$244</formula>
    </cfRule>
  </conditionalFormatting>
  <conditionalFormatting sqref="G245">
    <cfRule type="cellIs" dxfId="25" priority="28" operator="equal">
      <formula>$H$246</formula>
    </cfRule>
  </conditionalFormatting>
  <conditionalFormatting sqref="G247">
    <cfRule type="cellIs" dxfId="24" priority="27" operator="equal">
      <formula>$H$248</formula>
    </cfRule>
  </conditionalFormatting>
  <conditionalFormatting sqref="G249">
    <cfRule type="cellIs" dxfId="23" priority="26" operator="equal">
      <formula>$H$250</formula>
    </cfRule>
  </conditionalFormatting>
  <conditionalFormatting sqref="G251">
    <cfRule type="cellIs" dxfId="22" priority="25" operator="equal">
      <formula>$H$252</formula>
    </cfRule>
  </conditionalFormatting>
  <conditionalFormatting sqref="G253">
    <cfRule type="cellIs" dxfId="21" priority="24" operator="equal">
      <formula>$H$254</formula>
    </cfRule>
  </conditionalFormatting>
  <conditionalFormatting sqref="G255">
    <cfRule type="cellIs" dxfId="20" priority="23" operator="equal">
      <formula>$H$256</formula>
    </cfRule>
  </conditionalFormatting>
  <conditionalFormatting sqref="G262">
    <cfRule type="cellIs" dxfId="19" priority="21" operator="equal">
      <formula>$H$263</formula>
    </cfRule>
  </conditionalFormatting>
  <conditionalFormatting sqref="G264">
    <cfRule type="cellIs" dxfId="18" priority="20" operator="equal">
      <formula>$H$265</formula>
    </cfRule>
  </conditionalFormatting>
  <conditionalFormatting sqref="G266">
    <cfRule type="cellIs" dxfId="17" priority="19" operator="equal">
      <formula>$H$267</formula>
    </cfRule>
  </conditionalFormatting>
  <conditionalFormatting sqref="G268">
    <cfRule type="cellIs" dxfId="16" priority="18" operator="equal">
      <formula>$H$269</formula>
    </cfRule>
  </conditionalFormatting>
  <conditionalFormatting sqref="G270">
    <cfRule type="cellIs" dxfId="15" priority="17" operator="equal">
      <formula>$H$271</formula>
    </cfRule>
  </conditionalFormatting>
  <conditionalFormatting sqref="E68">
    <cfRule type="cellIs" dxfId="14" priority="16" operator="equal">
      <formula>$O$69</formula>
    </cfRule>
  </conditionalFormatting>
  <conditionalFormatting sqref="E69">
    <cfRule type="cellIs" dxfId="13" priority="15" operator="equal">
      <formula>$O$70</formula>
    </cfRule>
  </conditionalFormatting>
  <conditionalFormatting sqref="E70">
    <cfRule type="cellIs" dxfId="12" priority="14" operator="equal">
      <formula>$O$71</formula>
    </cfRule>
  </conditionalFormatting>
  <conditionalFormatting sqref="E71">
    <cfRule type="cellIs" dxfId="11" priority="13" operator="equal">
      <formula>$O$72</formula>
    </cfRule>
  </conditionalFormatting>
  <conditionalFormatting sqref="F68">
    <cfRule type="cellIs" dxfId="10" priority="11" operator="equal">
      <formula>$R$69</formula>
    </cfRule>
    <cfRule type="cellIs" dxfId="9" priority="12" operator="equal">
      <formula>$R$69</formula>
    </cfRule>
  </conditionalFormatting>
  <conditionalFormatting sqref="F69">
    <cfRule type="cellIs" dxfId="8" priority="10" operator="equal">
      <formula>$R$70</formula>
    </cfRule>
  </conditionalFormatting>
  <conditionalFormatting sqref="F70">
    <cfRule type="cellIs" dxfId="7" priority="9" operator="equal">
      <formula>$R$71</formula>
    </cfRule>
  </conditionalFormatting>
  <conditionalFormatting sqref="F71">
    <cfRule type="cellIs" dxfId="6" priority="8" operator="equal">
      <formula>$R$72</formula>
    </cfRule>
  </conditionalFormatting>
  <conditionalFormatting sqref="G106">
    <cfRule type="cellIs" dxfId="5" priority="3" operator="between">
      <formula>$L$107</formula>
      <formula>$L$108</formula>
    </cfRule>
  </conditionalFormatting>
  <conditionalFormatting sqref="G107">
    <cfRule type="cellIs" dxfId="4" priority="2" operator="between">
      <formula>$L$109</formula>
      <formula>$L$110</formula>
    </cfRule>
  </conditionalFormatting>
  <conditionalFormatting sqref="G208">
    <cfRule type="cellIs" dxfId="3" priority="1" operator="equal">
      <formula>$P$209</formula>
    </cfRule>
  </conditionalFormatting>
  <conditionalFormatting sqref="G181">
    <cfRule type="cellIs" dxfId="2" priority="75" operator="equal">
      <formula>$I$184</formula>
    </cfRule>
  </conditionalFormatting>
  <conditionalFormatting sqref="G183">
    <cfRule type="cellIs" dxfId="1" priority="76" operator="equal">
      <formula>$J$181</formula>
    </cfRule>
  </conditionalFormatting>
  <conditionalFormatting sqref="G260">
    <cfRule type="cellIs" dxfId="0" priority="77" operator="equal">
      <formula>$H$260</formula>
    </cfRule>
  </conditionalFormatting>
  <pageMargins left="0.25" right="0.25" top="0.30555555555555558" bottom="0.44444444444444442" header="0" footer="0"/>
  <pageSetup paperSize="9" orientation="portrait" horizontalDpi="0" verticalDpi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3" name="Button 1">
              <controlPr defaultSize="0" print="0" autoFill="0" autoPict="0" macro="[0]!Show_Boxplot">
                <anchor moveWithCells="1" sizeWithCells="1">
                  <from>
                    <xdr:col>5</xdr:col>
                    <xdr:colOff>647700</xdr:colOff>
                    <xdr:row>27</xdr:row>
                    <xdr:rowOff>165100</xdr:rowOff>
                  </from>
                  <to>
                    <xdr:col>6</xdr:col>
                    <xdr:colOff>914400</xdr:colOff>
                    <xdr:row>29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4" name="Button 7">
              <controlPr defaultSize="0" print="0" autoFill="0" autoPict="0" macro="[0]!Show_StemandLeaf">
                <anchor moveWithCells="1" sizeWithCells="1">
                  <from>
                    <xdr:col>5</xdr:col>
                    <xdr:colOff>25400</xdr:colOff>
                    <xdr:row>55</xdr:row>
                    <xdr:rowOff>0</xdr:rowOff>
                  </from>
                  <to>
                    <xdr:col>6</xdr:col>
                    <xdr:colOff>292100</xdr:colOff>
                    <xdr:row>56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5" name="Button 9">
              <controlPr defaultSize="0" print="0" autoFill="0" autoPict="0" macro="[0]!Show_CF">
                <anchor moveWithCells="1" sizeWithCells="1">
                  <from>
                    <xdr:col>5</xdr:col>
                    <xdr:colOff>139700</xdr:colOff>
                    <xdr:row>78</xdr:row>
                    <xdr:rowOff>165100</xdr:rowOff>
                  </from>
                  <to>
                    <xdr:col>6</xdr:col>
                    <xdr:colOff>406400</xdr:colOff>
                    <xdr:row>79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Info For Teachers</vt:lpstr>
      <vt:lpstr>Info For Students</vt:lpstr>
      <vt:lpstr>Key Skills</vt:lpstr>
      <vt:lpstr>mean</vt:lpstr>
      <vt:lpstr>sample</vt:lpstr>
      <vt:lpstr>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Nikki Cooper</dc:creator>
  <cp:lastModifiedBy>Nikki Cooper</cp:lastModifiedBy>
  <dcterms:created xsi:type="dcterms:W3CDTF">2022-04-17T11:45:22Z</dcterms:created>
  <dcterms:modified xsi:type="dcterms:W3CDTF">2022-04-19T18:32:49Z</dcterms:modified>
</cp:coreProperties>
</file>