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eslichfield.sharepoint.com/KES Staff/Mathematics/12C Year 12 CM/2. Personal Finance/"/>
    </mc:Choice>
  </mc:AlternateContent>
  <xr:revisionPtr revIDLastSave="345" documentId="11_A2A68875D15B1EBECEECAC245668BE2F262CA53D" xr6:coauthVersionLast="47" xr6:coauthVersionMax="47" xr10:uidLastSave="{51309894-4CF3-4E82-8FA9-BD0151135ACF}"/>
  <bookViews>
    <workbookView xWindow="0" yWindow="120" windowWidth="23040" windowHeight="12120" xr2:uid="{00000000-000D-0000-FFFF-FFFF00000000}"/>
  </bookViews>
  <sheets>
    <sheet name="2025" sheetId="3" r:id="rId1"/>
    <sheet name="50270" sheetId="2" r:id="rId2"/>
    <sheet name="50000" sheetId="1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6" i="3" l="1"/>
  <c r="X6" i="3" s="1"/>
  <c r="B3" i="3"/>
  <c r="B9" i="3" s="1"/>
  <c r="C9" i="3" s="1"/>
  <c r="J3" i="3"/>
  <c r="W4" i="3"/>
  <c r="R6" i="3"/>
  <c r="S6" i="3" s="1"/>
  <c r="Y16" i="3"/>
  <c r="Y17" i="3" s="1"/>
  <c r="W10" i="3"/>
  <c r="X10" i="3" s="1"/>
  <c r="W9" i="3"/>
  <c r="X9" i="3" s="1"/>
  <c r="X5" i="3"/>
  <c r="O8" i="3"/>
  <c r="K9" i="3"/>
  <c r="C8" i="3"/>
  <c r="T15" i="3"/>
  <c r="N13" i="3"/>
  <c r="O13" i="3" s="1"/>
  <c r="J13" i="3"/>
  <c r="K13" i="3" s="1"/>
  <c r="R10" i="3"/>
  <c r="S10" i="3" s="1"/>
  <c r="R9" i="3"/>
  <c r="S9" i="3" s="1"/>
  <c r="J9" i="3"/>
  <c r="N8" i="3"/>
  <c r="J8" i="3"/>
  <c r="K8" i="3" s="1"/>
  <c r="B8" i="3"/>
  <c r="F6" i="3"/>
  <c r="G6" i="3" s="1"/>
  <c r="S5" i="3"/>
  <c r="J5" i="3"/>
  <c r="K5" i="3" s="1"/>
  <c r="S4" i="3"/>
  <c r="N4" i="3"/>
  <c r="O4" i="3" s="1"/>
  <c r="K4" i="3"/>
  <c r="F4" i="3"/>
  <c r="G4" i="3" s="1"/>
  <c r="C4" i="3"/>
  <c r="F14" i="2"/>
  <c r="B9" i="2"/>
  <c r="C9" i="2" s="1"/>
  <c r="R10" i="2"/>
  <c r="S10" i="2" s="1"/>
  <c r="T15" i="2"/>
  <c r="T16" i="2" s="1"/>
  <c r="F6" i="2"/>
  <c r="G6" i="2" s="1"/>
  <c r="J9" i="2"/>
  <c r="K9" i="2" s="1"/>
  <c r="B8" i="2"/>
  <c r="C8" i="2" s="1"/>
  <c r="N8" i="2"/>
  <c r="O8" i="2" s="1"/>
  <c r="R9" i="2"/>
  <c r="S9" i="2" s="1"/>
  <c r="J13" i="2"/>
  <c r="K13" i="2" s="1"/>
  <c r="R5" i="2"/>
  <c r="S5" i="2" s="1"/>
  <c r="S4" i="2"/>
  <c r="N13" i="2"/>
  <c r="N4" i="2"/>
  <c r="O4" i="2" s="1"/>
  <c r="J5" i="2"/>
  <c r="K5" i="2" s="1"/>
  <c r="K4" i="2"/>
  <c r="F4" i="2"/>
  <c r="G4" i="2" s="1"/>
  <c r="C4" i="2"/>
  <c r="F4" i="1"/>
  <c r="B8" i="1"/>
  <c r="B9" i="1"/>
  <c r="C9" i="1" s="1"/>
  <c r="B5" i="1"/>
  <c r="E20" i="1"/>
  <c r="C22" i="1"/>
  <c r="C4" i="1"/>
  <c r="J3" i="1"/>
  <c r="J5" i="1" s="1"/>
  <c r="K5" i="1" s="1"/>
  <c r="N3" i="1"/>
  <c r="N9" i="1" s="1"/>
  <c r="O9" i="1" s="1"/>
  <c r="K4" i="1"/>
  <c r="N4" i="1"/>
  <c r="O4" i="1" s="1"/>
  <c r="O25" i="1" s="1"/>
  <c r="J10" i="1"/>
  <c r="K10" i="1" s="1"/>
  <c r="B5" i="3" l="1"/>
  <c r="C5" i="3" s="1"/>
  <c r="C10" i="3"/>
  <c r="K6" i="3"/>
  <c r="K15" i="3" s="1"/>
  <c r="K17" i="3" s="1"/>
  <c r="C6" i="3"/>
  <c r="C11" i="3" s="1"/>
  <c r="C12" i="3" s="1"/>
  <c r="S11" i="3"/>
  <c r="X7" i="3"/>
  <c r="X11" i="3"/>
  <c r="K10" i="3"/>
  <c r="G7" i="3"/>
  <c r="G8" i="3" s="1"/>
  <c r="G9" i="3" s="1"/>
  <c r="O15" i="3"/>
  <c r="O17" i="3" s="1"/>
  <c r="S7" i="3"/>
  <c r="S12" i="3" s="1"/>
  <c r="S13" i="3" s="1"/>
  <c r="B5" i="2"/>
  <c r="C5" i="2" s="1"/>
  <c r="C6" i="2" s="1"/>
  <c r="R6" i="2"/>
  <c r="S6" i="2" s="1"/>
  <c r="S7" i="2" s="1"/>
  <c r="S11" i="2"/>
  <c r="C10" i="2"/>
  <c r="J8" i="2"/>
  <c r="K6" i="2"/>
  <c r="G7" i="2"/>
  <c r="G8" i="2" s="1"/>
  <c r="O13" i="2"/>
  <c r="F6" i="1"/>
  <c r="G6" i="1" s="1"/>
  <c r="G4" i="1"/>
  <c r="J9" i="1"/>
  <c r="K9" i="1" s="1"/>
  <c r="K11" i="1" s="1"/>
  <c r="K6" i="1"/>
  <c r="N14" i="1"/>
  <c r="O14" i="1" s="1"/>
  <c r="O17" i="1" s="1"/>
  <c r="O19" i="1" s="1"/>
  <c r="O20" i="1" s="1"/>
  <c r="J14" i="1"/>
  <c r="K14" i="1" s="1"/>
  <c r="C5" i="1"/>
  <c r="C6" i="1" s="1"/>
  <c r="C8" i="1"/>
  <c r="C10" i="1" s="1"/>
  <c r="O26" i="1"/>
  <c r="O27" i="1"/>
  <c r="K19" i="3" l="1"/>
  <c r="K18" i="3"/>
  <c r="G10" i="3"/>
  <c r="X12" i="3"/>
  <c r="X13" i="3" s="1"/>
  <c r="X14" i="3" s="1"/>
  <c r="S15" i="3"/>
  <c r="S14" i="3"/>
  <c r="O19" i="3"/>
  <c r="O18" i="3"/>
  <c r="C14" i="3"/>
  <c r="C13" i="3"/>
  <c r="G10" i="2"/>
  <c r="F15" i="2"/>
  <c r="F16" i="2" s="1"/>
  <c r="K8" i="2"/>
  <c r="K10" i="2" s="1"/>
  <c r="K15" i="2" s="1"/>
  <c r="K17" i="2" s="1"/>
  <c r="K19" i="2" s="1"/>
  <c r="S12" i="2"/>
  <c r="S13" i="2" s="1"/>
  <c r="C11" i="2"/>
  <c r="C12" i="2" s="1"/>
  <c r="G9" i="2"/>
  <c r="O15" i="2"/>
  <c r="O17" i="2" s="1"/>
  <c r="G7" i="1"/>
  <c r="G8" i="1" s="1"/>
  <c r="G10" i="1" s="1"/>
  <c r="K17" i="1"/>
  <c r="K19" i="1" s="1"/>
  <c r="K21" i="1" s="1"/>
  <c r="C11" i="1"/>
  <c r="O21" i="1"/>
  <c r="X15" i="3" l="1"/>
  <c r="H9" i="2"/>
  <c r="S15" i="2"/>
  <c r="S14" i="2"/>
  <c r="K18" i="2"/>
  <c r="C14" i="2"/>
  <c r="C16" i="2"/>
  <c r="C13" i="2"/>
  <c r="O19" i="2"/>
  <c r="O18" i="2"/>
  <c r="C12" i="1"/>
  <c r="C13" i="1" s="1"/>
  <c r="C16" i="1"/>
  <c r="K20" i="1"/>
  <c r="G9" i="1"/>
  <c r="C14" i="1"/>
</calcChain>
</file>

<file path=xl/sharedStrings.xml><?xml version="1.0" encoding="utf-8"?>
<sst xmlns="http://schemas.openxmlformats.org/spreadsheetml/2006/main" count="203" uniqueCount="27">
  <si>
    <t>Over £50270 no student loans</t>
  </si>
  <si>
    <t>Under 50270 no student loan</t>
  </si>
  <si>
    <t>Over £50270</t>
  </si>
  <si>
    <t>Under 50270</t>
  </si>
  <si>
    <t>Over 162570</t>
  </si>
  <si>
    <t>Tax</t>
  </si>
  <si>
    <t>Salary</t>
  </si>
  <si>
    <t>Lower band</t>
  </si>
  <si>
    <t>NI</t>
  </si>
  <si>
    <t>Higher band</t>
  </si>
  <si>
    <t>Total</t>
  </si>
  <si>
    <t>Additional band</t>
  </si>
  <si>
    <t>Total Deductions</t>
  </si>
  <si>
    <t xml:space="preserve">Net pay </t>
  </si>
  <si>
    <t>Annual</t>
  </si>
  <si>
    <t>Monthly</t>
  </si>
  <si>
    <t>Weekly</t>
  </si>
  <si>
    <t>Student Loans</t>
  </si>
  <si>
    <t>Payable</t>
  </si>
  <si>
    <t>Over £50000 no student loans</t>
  </si>
  <si>
    <t>Under 50000 no student loan</t>
  </si>
  <si>
    <t>Over £50000</t>
  </si>
  <si>
    <t>Under 50000</t>
  </si>
  <si>
    <t>Without Student Loan</t>
  </si>
  <si>
    <t>PA</t>
  </si>
  <si>
    <t>Over 100000 reducing PA</t>
  </si>
  <si>
    <t>Over 125140 no 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</si>
</sst>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2" fontId="0" fillId="0" borderId="0" xfId="0" applyNumberFormat="1"/>
    <xf numFmtId="0" fontId="1" fillId="0" borderId="0" xfId="0" applyFont="1"/>
    <xf numFmtId="2" fontId="1" fillId="0" borderId="0" xfId="0" applyNumberFormat="1" applyFont="1"/>
    <xf numFmtId="0" fontId="2" fillId="0" borderId="0" xfId="0" applyFont="1"/>
    <xf numFmtId="9" fontId="0" fillId="0" borderId="0" xfId="0" applyNumberFormat="1"/>
    <xf numFmtId="10" fontId="0" fillId="0" borderId="0" xfId="0" applyNumberForma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424492-DCCE-4320-82FB-F464CF21E05C}">
  <dimension ref="A1:Y33"/>
  <sheetViews>
    <sheetView tabSelected="1" topLeftCell="J1" workbookViewId="0">
      <selection activeCell="V2" sqref="V2:X14"/>
    </sheetView>
  </sheetViews>
  <sheetFormatPr defaultColWidth="11" defaultRowHeight="15.6" x14ac:dyDescent="0.3"/>
  <cols>
    <col min="2" max="2" width="11.19921875" bestFit="1" customWidth="1"/>
  </cols>
  <sheetData>
    <row r="1" spans="1:25" s="2" customFormat="1" x14ac:dyDescent="0.3">
      <c r="A1" s="2" t="s">
        <v>0</v>
      </c>
      <c r="E1" s="2" t="s">
        <v>1</v>
      </c>
      <c r="I1" s="2" t="s">
        <v>2</v>
      </c>
      <c r="M1" s="2" t="s">
        <v>3</v>
      </c>
      <c r="Q1" s="2" t="s">
        <v>26</v>
      </c>
      <c r="V1" s="2" t="s">
        <v>25</v>
      </c>
    </row>
    <row r="2" spans="1:25" x14ac:dyDescent="0.3">
      <c r="C2" t="s">
        <v>5</v>
      </c>
      <c r="G2" t="s">
        <v>5</v>
      </c>
      <c r="K2" t="s">
        <v>5</v>
      </c>
      <c r="O2" t="s">
        <v>5</v>
      </c>
      <c r="S2" t="s">
        <v>5</v>
      </c>
      <c r="X2" t="s">
        <v>5</v>
      </c>
    </row>
    <row r="3" spans="1:25" x14ac:dyDescent="0.3">
      <c r="A3" s="7" t="s">
        <v>6</v>
      </c>
      <c r="B3">
        <f>95200*0.93</f>
        <v>88536</v>
      </c>
      <c r="E3" t="s">
        <v>6</v>
      </c>
      <c r="F3">
        <v>25300</v>
      </c>
      <c r="I3" t="s">
        <v>6</v>
      </c>
      <c r="J3">
        <f>95200*0.93</f>
        <v>88536</v>
      </c>
      <c r="M3" t="s">
        <v>6</v>
      </c>
      <c r="N3">
        <v>42500</v>
      </c>
      <c r="Q3" t="s">
        <v>6</v>
      </c>
      <c r="R3">
        <v>172000</v>
      </c>
      <c r="V3" t="s">
        <v>6</v>
      </c>
      <c r="W3">
        <v>110000</v>
      </c>
    </row>
    <row r="4" spans="1:25" x14ac:dyDescent="0.3">
      <c r="A4" s="5">
        <v>0.2</v>
      </c>
      <c r="B4">
        <v>37700</v>
      </c>
      <c r="C4">
        <f>B4*0.2</f>
        <v>7540</v>
      </c>
      <c r="E4" s="5">
        <v>0.2</v>
      </c>
      <c r="F4">
        <f>F3-12570</f>
        <v>12730</v>
      </c>
      <c r="G4" s="4">
        <f>F4*0.2</f>
        <v>2546</v>
      </c>
      <c r="I4" t="s">
        <v>7</v>
      </c>
      <c r="J4">
        <v>37700</v>
      </c>
      <c r="K4">
        <f>J4*0.2</f>
        <v>7540</v>
      </c>
      <c r="M4" t="s">
        <v>7</v>
      </c>
      <c r="N4">
        <f>N3-12570</f>
        <v>29930</v>
      </c>
      <c r="O4" s="4">
        <f>N4*0.2</f>
        <v>5986</v>
      </c>
      <c r="Q4" t="s">
        <v>7</v>
      </c>
      <c r="R4">
        <v>37700</v>
      </c>
      <c r="S4">
        <f>R4*0.2</f>
        <v>7540</v>
      </c>
      <c r="V4" t="s">
        <v>24</v>
      </c>
      <c r="W4">
        <f>12570-(W3-100000)/2</f>
        <v>7570</v>
      </c>
    </row>
    <row r="5" spans="1:25" x14ac:dyDescent="0.3">
      <c r="A5" s="5">
        <v>0.4</v>
      </c>
      <c r="B5">
        <f>B3-12570-B4</f>
        <v>38266</v>
      </c>
      <c r="C5">
        <f>B5*0.4</f>
        <v>15306.400000000001</v>
      </c>
      <c r="G5" t="s">
        <v>8</v>
      </c>
      <c r="I5" t="s">
        <v>9</v>
      </c>
      <c r="J5">
        <f>J3-12570-J4</f>
        <v>38266</v>
      </c>
      <c r="K5">
        <f>J5*0.4</f>
        <v>15306.400000000001</v>
      </c>
      <c r="Q5" t="s">
        <v>9</v>
      </c>
      <c r="R5">
        <v>87440</v>
      </c>
      <c r="S5">
        <f>R5*0.4</f>
        <v>34976</v>
      </c>
      <c r="V5" t="s">
        <v>7</v>
      </c>
      <c r="W5">
        <v>37700</v>
      </c>
      <c r="X5">
        <f>W5*0.2</f>
        <v>7540</v>
      </c>
    </row>
    <row r="6" spans="1:25" x14ac:dyDescent="0.3">
      <c r="B6" s="7" t="s">
        <v>10</v>
      </c>
      <c r="C6" s="4">
        <f>SUM(C4:C5)</f>
        <v>22846.400000000001</v>
      </c>
      <c r="E6" s="6">
        <v>0.08</v>
      </c>
      <c r="F6">
        <f>F3-12570</f>
        <v>12730</v>
      </c>
      <c r="G6" s="4">
        <f>F6*0.08</f>
        <v>1018.4</v>
      </c>
      <c r="J6" t="s">
        <v>10</v>
      </c>
      <c r="K6" s="4">
        <f>SUM(K4:K5)</f>
        <v>22846.400000000001</v>
      </c>
      <c r="Q6" t="s">
        <v>11</v>
      </c>
      <c r="R6">
        <f>R3-125140</f>
        <v>46860</v>
      </c>
      <c r="S6">
        <f>0.45*R6</f>
        <v>21087</v>
      </c>
      <c r="V6" t="s">
        <v>9</v>
      </c>
      <c r="W6">
        <f>W3-W5-W4</f>
        <v>64730</v>
      </c>
      <c r="X6">
        <f>W6*0.4</f>
        <v>25892</v>
      </c>
    </row>
    <row r="7" spans="1:25" x14ac:dyDescent="0.3">
      <c r="C7" t="s">
        <v>8</v>
      </c>
      <c r="E7" t="s">
        <v>12</v>
      </c>
      <c r="G7" s="4">
        <f>G4+G6</f>
        <v>3564.4</v>
      </c>
      <c r="K7" t="s">
        <v>8</v>
      </c>
      <c r="O7" t="s">
        <v>8</v>
      </c>
      <c r="R7" t="s">
        <v>10</v>
      </c>
      <c r="S7" s="4">
        <f>SUM(S4:S6)</f>
        <v>63603</v>
      </c>
      <c r="W7" t="s">
        <v>10</v>
      </c>
      <c r="X7" s="4">
        <f>SUM(X5:X6)</f>
        <v>33432</v>
      </c>
    </row>
    <row r="8" spans="1:25" x14ac:dyDescent="0.3">
      <c r="A8" s="6">
        <v>0.08</v>
      </c>
      <c r="B8">
        <f>50270-12570</f>
        <v>37700</v>
      </c>
      <c r="C8">
        <f>B8*0.08</f>
        <v>3016</v>
      </c>
      <c r="E8" t="s">
        <v>13</v>
      </c>
      <c r="F8" t="s">
        <v>14</v>
      </c>
      <c r="G8" s="2">
        <f>F3-G7</f>
        <v>21735.599999999999</v>
      </c>
      <c r="I8" t="s">
        <v>9</v>
      </c>
      <c r="J8">
        <f>J3-50270</f>
        <v>38266</v>
      </c>
      <c r="K8">
        <f>J8*0.02</f>
        <v>765.32</v>
      </c>
      <c r="M8" t="s">
        <v>7</v>
      </c>
      <c r="N8">
        <f>N3-12570</f>
        <v>29930</v>
      </c>
      <c r="O8" s="4">
        <f>N8*0.08</f>
        <v>2394.4</v>
      </c>
      <c r="S8" t="s">
        <v>8</v>
      </c>
      <c r="X8" t="s">
        <v>8</v>
      </c>
    </row>
    <row r="9" spans="1:25" x14ac:dyDescent="0.3">
      <c r="A9" s="6">
        <v>0.02</v>
      </c>
      <c r="B9">
        <f>B3-50270</f>
        <v>38266</v>
      </c>
      <c r="C9">
        <f>B9*0.02</f>
        <v>765.32</v>
      </c>
      <c r="F9" t="s">
        <v>15</v>
      </c>
      <c r="G9" s="3">
        <f>G8/12</f>
        <v>1811.3</v>
      </c>
      <c r="I9" t="s">
        <v>7</v>
      </c>
      <c r="J9">
        <f>50270-12570</f>
        <v>37700</v>
      </c>
      <c r="K9">
        <f>J9*0.08</f>
        <v>3016</v>
      </c>
      <c r="Q9" s="6">
        <v>0.08</v>
      </c>
      <c r="R9">
        <f>50270-12570</f>
        <v>37700</v>
      </c>
      <c r="S9">
        <f>R9*0.08</f>
        <v>3016</v>
      </c>
      <c r="V9" s="6">
        <v>0.08</v>
      </c>
      <c r="W9">
        <f>50270-12570</f>
        <v>37700</v>
      </c>
      <c r="X9">
        <f>W9*0.08</f>
        <v>3016</v>
      </c>
    </row>
    <row r="10" spans="1:25" x14ac:dyDescent="0.3">
      <c r="B10" s="7" t="s">
        <v>10</v>
      </c>
      <c r="C10" s="4">
        <f>SUM(C8:C9)</f>
        <v>3781.32</v>
      </c>
      <c r="F10" t="s">
        <v>16</v>
      </c>
      <c r="G10" s="3">
        <f>G8/52</f>
        <v>417.99230769230769</v>
      </c>
      <c r="J10" t="s">
        <v>10</v>
      </c>
      <c r="K10" s="4">
        <f>SUM(K8:K9)</f>
        <v>3781.32</v>
      </c>
      <c r="Q10" s="6">
        <v>0.02</v>
      </c>
      <c r="R10">
        <f>R3-50270</f>
        <v>121730</v>
      </c>
      <c r="S10">
        <f>R10*0.02</f>
        <v>2434.6</v>
      </c>
      <c r="V10" s="6">
        <v>0.02</v>
      </c>
      <c r="W10">
        <f>W3-50270</f>
        <v>59730</v>
      </c>
      <c r="X10">
        <f>W10*0.02</f>
        <v>1194.6000000000001</v>
      </c>
    </row>
    <row r="11" spans="1:25" x14ac:dyDescent="0.3">
      <c r="A11" t="s">
        <v>12</v>
      </c>
      <c r="C11" s="4">
        <f>C6+C10</f>
        <v>26627.72</v>
      </c>
      <c r="R11" s="7" t="s">
        <v>10</v>
      </c>
      <c r="S11" s="4">
        <f>SUM(S9:S10)</f>
        <v>5450.6</v>
      </c>
      <c r="W11" s="7" t="s">
        <v>10</v>
      </c>
      <c r="X11" s="4">
        <f>SUM(X9:X10)</f>
        <v>4210.6000000000004</v>
      </c>
    </row>
    <row r="12" spans="1:25" x14ac:dyDescent="0.3">
      <c r="A12" t="s">
        <v>13</v>
      </c>
      <c r="B12" t="s">
        <v>14</v>
      </c>
      <c r="C12" s="2">
        <f>B3-C11</f>
        <v>61908.28</v>
      </c>
      <c r="K12" t="s">
        <v>17</v>
      </c>
      <c r="O12" t="s">
        <v>17</v>
      </c>
      <c r="Q12" t="s">
        <v>12</v>
      </c>
      <c r="S12" s="4">
        <f>S7+S11</f>
        <v>69053.600000000006</v>
      </c>
      <c r="V12" t="s">
        <v>12</v>
      </c>
      <c r="X12" s="4">
        <f>X7+X11</f>
        <v>37642.6</v>
      </c>
    </row>
    <row r="13" spans="1:25" x14ac:dyDescent="0.3">
      <c r="B13" t="s">
        <v>15</v>
      </c>
      <c r="C13" s="3">
        <f>C12/12</f>
        <v>5159.0233333333335</v>
      </c>
      <c r="I13" t="s">
        <v>18</v>
      </c>
      <c r="J13">
        <f>J3-27295</f>
        <v>61241</v>
      </c>
      <c r="K13">
        <f>J13*0.09</f>
        <v>5511.69</v>
      </c>
      <c r="M13" t="s">
        <v>18</v>
      </c>
      <c r="N13">
        <f>N3-27295</f>
        <v>15205</v>
      </c>
      <c r="O13">
        <f>IF(N13&lt;=0,0,N13*0.09)</f>
        <v>1368.45</v>
      </c>
      <c r="Q13" t="s">
        <v>13</v>
      </c>
      <c r="R13" t="s">
        <v>14</v>
      </c>
      <c r="S13" s="2">
        <f>R3-S12</f>
        <v>102946.4</v>
      </c>
      <c r="T13" s="1">
        <v>9751.89</v>
      </c>
      <c r="V13" t="s">
        <v>13</v>
      </c>
      <c r="W13" t="s">
        <v>14</v>
      </c>
      <c r="X13" s="2">
        <f>W3-X12</f>
        <v>72357.399999999994</v>
      </c>
    </row>
    <row r="14" spans="1:25" x14ac:dyDescent="0.3">
      <c r="B14" t="s">
        <v>16</v>
      </c>
      <c r="C14" s="3">
        <f>C12/52</f>
        <v>1190.5438461538461</v>
      </c>
      <c r="R14" t="s">
        <v>15</v>
      </c>
      <c r="S14" s="3">
        <f>S13/12</f>
        <v>8578.8666666666668</v>
      </c>
      <c r="T14" s="1">
        <v>9280.92</v>
      </c>
      <c r="W14" t="s">
        <v>15</v>
      </c>
      <c r="X14" s="3">
        <f>X13/12</f>
        <v>6029.7833333333328</v>
      </c>
      <c r="Y14" s="1">
        <v>9751.89</v>
      </c>
    </row>
    <row r="15" spans="1:25" x14ac:dyDescent="0.3">
      <c r="F15" s="1"/>
      <c r="G15" s="1"/>
      <c r="I15" t="s">
        <v>12</v>
      </c>
      <c r="K15">
        <f>K6+K10+K13</f>
        <v>32139.41</v>
      </c>
      <c r="M15" t="s">
        <v>12</v>
      </c>
      <c r="O15">
        <f>O4+O8+O13</f>
        <v>9748.85</v>
      </c>
      <c r="R15" t="s">
        <v>16</v>
      </c>
      <c r="S15" s="3">
        <f>S13/52</f>
        <v>1979.7384615384615</v>
      </c>
      <c r="T15" s="1">
        <f>T13-T14</f>
        <v>470.96999999999935</v>
      </c>
      <c r="W15" t="s">
        <v>16</v>
      </c>
      <c r="X15" s="3">
        <f>X13/52</f>
        <v>1391.4884615384615</v>
      </c>
      <c r="Y15" s="1">
        <v>9280.92</v>
      </c>
    </row>
    <row r="16" spans="1:25" x14ac:dyDescent="0.3">
      <c r="G16" s="1"/>
      <c r="Y16" s="1">
        <f>Y14-Y15</f>
        <v>470.96999999999935</v>
      </c>
    </row>
    <row r="17" spans="2:25" x14ac:dyDescent="0.3">
      <c r="I17" t="s">
        <v>13</v>
      </c>
      <c r="J17" t="s">
        <v>14</v>
      </c>
      <c r="K17">
        <f>J3-K15</f>
        <v>56396.59</v>
      </c>
      <c r="M17" t="s">
        <v>13</v>
      </c>
      <c r="N17" t="s">
        <v>14</v>
      </c>
      <c r="O17">
        <f>N3-O15</f>
        <v>32751.15</v>
      </c>
      <c r="Y17">
        <f>Y16/Y15</f>
        <v>5.0746046728126021E-2</v>
      </c>
    </row>
    <row r="18" spans="2:25" x14ac:dyDescent="0.3">
      <c r="B18" s="1"/>
      <c r="J18" t="s">
        <v>15</v>
      </c>
      <c r="K18" s="1">
        <f>K17/12</f>
        <v>4699.7158333333327</v>
      </c>
      <c r="N18" t="s">
        <v>15</v>
      </c>
      <c r="O18" s="1">
        <f>O17/12</f>
        <v>2729.2625000000003</v>
      </c>
    </row>
    <row r="19" spans="2:25" x14ac:dyDescent="0.3">
      <c r="J19" t="s">
        <v>16</v>
      </c>
      <c r="K19" s="1">
        <f>K17/52</f>
        <v>1084.5498076923077</v>
      </c>
      <c r="N19" t="s">
        <v>16</v>
      </c>
      <c r="O19" s="1">
        <f>O17/52</f>
        <v>629.82980769230767</v>
      </c>
    </row>
    <row r="20" spans="2:25" x14ac:dyDescent="0.3">
      <c r="B20" s="7"/>
    </row>
    <row r="21" spans="2:25" x14ac:dyDescent="0.3">
      <c r="B21" s="7"/>
    </row>
    <row r="22" spans="2:25" x14ac:dyDescent="0.3">
      <c r="B22" s="7"/>
    </row>
    <row r="23" spans="2:25" x14ac:dyDescent="0.3">
      <c r="B23" s="5"/>
    </row>
    <row r="24" spans="2:25" x14ac:dyDescent="0.3">
      <c r="B24" s="5"/>
      <c r="O24" s="1"/>
    </row>
    <row r="25" spans="2:25" x14ac:dyDescent="0.3">
      <c r="C25" s="7"/>
      <c r="D25" s="4"/>
      <c r="O25" s="1"/>
    </row>
    <row r="27" spans="2:25" x14ac:dyDescent="0.3">
      <c r="B27" s="6"/>
      <c r="F27" s="5"/>
      <c r="H27" s="4"/>
    </row>
    <row r="28" spans="2:25" x14ac:dyDescent="0.3">
      <c r="B28" s="6"/>
    </row>
    <row r="29" spans="2:25" x14ac:dyDescent="0.3">
      <c r="C29" s="7"/>
      <c r="D29" s="4"/>
      <c r="F29" s="6"/>
      <c r="H29" s="4"/>
    </row>
    <row r="30" spans="2:25" x14ac:dyDescent="0.3">
      <c r="D30" s="4"/>
      <c r="H30" s="4"/>
    </row>
    <row r="31" spans="2:25" x14ac:dyDescent="0.3">
      <c r="D31" s="2"/>
      <c r="H31" s="2"/>
    </row>
    <row r="32" spans="2:25" x14ac:dyDescent="0.3">
      <c r="H32" s="3"/>
    </row>
    <row r="33" spans="8:8" x14ac:dyDescent="0.3">
      <c r="H33" s="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8BB8C-3B3D-49F0-878C-3B7D9AC17F12}">
  <dimension ref="A1:T33"/>
  <sheetViews>
    <sheetView workbookViewId="0">
      <selection activeCell="I2" sqref="I2:K19"/>
    </sheetView>
  </sheetViews>
  <sheetFormatPr defaultColWidth="11" defaultRowHeight="15.6" x14ac:dyDescent="0.3"/>
  <cols>
    <col min="2" max="2" width="11.19921875" bestFit="1" customWidth="1"/>
  </cols>
  <sheetData>
    <row r="1" spans="1:20" s="2" customFormat="1" x14ac:dyDescent="0.3">
      <c r="A1" s="2" t="s">
        <v>0</v>
      </c>
      <c r="E1" s="2" t="s">
        <v>1</v>
      </c>
      <c r="I1" s="2" t="s">
        <v>2</v>
      </c>
      <c r="M1" s="2" t="s">
        <v>3</v>
      </c>
      <c r="Q1" s="2" t="s">
        <v>4</v>
      </c>
    </row>
    <row r="2" spans="1:20" x14ac:dyDescent="0.3">
      <c r="C2" t="s">
        <v>5</v>
      </c>
      <c r="G2" t="s">
        <v>5</v>
      </c>
      <c r="K2" t="s">
        <v>5</v>
      </c>
      <c r="O2" t="s">
        <v>5</v>
      </c>
      <c r="S2" t="s">
        <v>5</v>
      </c>
    </row>
    <row r="3" spans="1:20" x14ac:dyDescent="0.3">
      <c r="A3" s="7" t="s">
        <v>6</v>
      </c>
      <c r="B3">
        <v>72000</v>
      </c>
      <c r="E3" t="s">
        <v>6</v>
      </c>
      <c r="F3">
        <v>15800</v>
      </c>
      <c r="I3" t="s">
        <v>6</v>
      </c>
      <c r="J3">
        <v>136151</v>
      </c>
      <c r="M3" t="s">
        <v>6</v>
      </c>
      <c r="N3">
        <v>42500</v>
      </c>
      <c r="Q3" t="s">
        <v>6</v>
      </c>
      <c r="R3">
        <v>172000</v>
      </c>
    </row>
    <row r="4" spans="1:20" x14ac:dyDescent="0.3">
      <c r="A4" s="5">
        <v>0.2</v>
      </c>
      <c r="B4">
        <v>37700</v>
      </c>
      <c r="C4">
        <f>B4*0.2</f>
        <v>7540</v>
      </c>
      <c r="E4" s="5">
        <v>0.2</v>
      </c>
      <c r="F4">
        <f>F3-12570</f>
        <v>3230</v>
      </c>
      <c r="G4" s="4">
        <f>F4*0.2</f>
        <v>646</v>
      </c>
      <c r="I4" t="s">
        <v>7</v>
      </c>
      <c r="J4">
        <v>37700</v>
      </c>
      <c r="K4">
        <f>J4*0.2</f>
        <v>7540</v>
      </c>
      <c r="M4" t="s">
        <v>7</v>
      </c>
      <c r="N4">
        <f>N3-12570</f>
        <v>29930</v>
      </c>
      <c r="O4" s="4">
        <f>N4*0.2</f>
        <v>5986</v>
      </c>
      <c r="Q4" t="s">
        <v>7</v>
      </c>
      <c r="R4">
        <v>37700</v>
      </c>
      <c r="S4">
        <f>R4*0.2</f>
        <v>7540</v>
      </c>
    </row>
    <row r="5" spans="1:20" x14ac:dyDescent="0.3">
      <c r="A5" s="5">
        <v>0.4</v>
      </c>
      <c r="B5">
        <f>B3-12570-B4</f>
        <v>21730</v>
      </c>
      <c r="C5">
        <f>B5*0.4</f>
        <v>8692</v>
      </c>
      <c r="G5" t="s">
        <v>8</v>
      </c>
      <c r="I5" t="s">
        <v>9</v>
      </c>
      <c r="J5">
        <f>J3-12570-J4</f>
        <v>85881</v>
      </c>
      <c r="K5">
        <f>J5*0.4</f>
        <v>34352.400000000001</v>
      </c>
      <c r="Q5" t="s">
        <v>9</v>
      </c>
      <c r="R5">
        <f>112300</f>
        <v>112300</v>
      </c>
      <c r="S5">
        <f>R5*0.4</f>
        <v>44920</v>
      </c>
    </row>
    <row r="6" spans="1:20" x14ac:dyDescent="0.3">
      <c r="B6" s="7" t="s">
        <v>10</v>
      </c>
      <c r="C6" s="4">
        <f>SUM(C4:C5)</f>
        <v>16232</v>
      </c>
      <c r="E6" s="6">
        <v>0.12</v>
      </c>
      <c r="F6">
        <f>F3-12570</f>
        <v>3230</v>
      </c>
      <c r="G6" s="4">
        <f>F6*0.12</f>
        <v>387.59999999999997</v>
      </c>
      <c r="J6" t="s">
        <v>10</v>
      </c>
      <c r="K6" s="4">
        <f>SUM(K4:K5)</f>
        <v>41892.400000000001</v>
      </c>
      <c r="Q6" t="s">
        <v>11</v>
      </c>
      <c r="R6">
        <f>R3-150000-12570</f>
        <v>9430</v>
      </c>
      <c r="S6">
        <f>0.45*R6</f>
        <v>4243.5</v>
      </c>
    </row>
    <row r="7" spans="1:20" x14ac:dyDescent="0.3">
      <c r="C7" t="s">
        <v>8</v>
      </c>
      <c r="E7" t="s">
        <v>12</v>
      </c>
      <c r="G7" s="4">
        <f>G4+G6</f>
        <v>1033.5999999999999</v>
      </c>
      <c r="K7" t="s">
        <v>8</v>
      </c>
      <c r="O7" t="s">
        <v>8</v>
      </c>
      <c r="R7" t="s">
        <v>10</v>
      </c>
      <c r="S7" s="4">
        <f>SUM(S4:S6)</f>
        <v>56703.5</v>
      </c>
    </row>
    <row r="8" spans="1:20" x14ac:dyDescent="0.3">
      <c r="A8" s="6">
        <v>0.12</v>
      </c>
      <c r="B8">
        <f>50270-12570</f>
        <v>37700</v>
      </c>
      <c r="C8">
        <f>B8*0.12</f>
        <v>4524</v>
      </c>
      <c r="E8" t="s">
        <v>13</v>
      </c>
      <c r="F8" t="s">
        <v>14</v>
      </c>
      <c r="G8" s="2">
        <f>F3-G7</f>
        <v>14766.4</v>
      </c>
      <c r="I8" t="s">
        <v>9</v>
      </c>
      <c r="J8">
        <f>J3-50270</f>
        <v>85881</v>
      </c>
      <c r="K8">
        <f>J8*0.02</f>
        <v>1717.6200000000001</v>
      </c>
      <c r="M8" t="s">
        <v>7</v>
      </c>
      <c r="N8">
        <f>N3-12570</f>
        <v>29930</v>
      </c>
      <c r="O8" s="4">
        <f>N8*0.12</f>
        <v>3591.6</v>
      </c>
      <c r="S8" t="s">
        <v>8</v>
      </c>
    </row>
    <row r="9" spans="1:20" x14ac:dyDescent="0.3">
      <c r="A9" s="6">
        <v>0.02</v>
      </c>
      <c r="B9">
        <f>B3-50270</f>
        <v>21730</v>
      </c>
      <c r="C9">
        <f>B9*0.02</f>
        <v>434.6</v>
      </c>
      <c r="F9" t="s">
        <v>15</v>
      </c>
      <c r="G9" s="3">
        <f>G8/12</f>
        <v>1230.5333333333333</v>
      </c>
      <c r="H9">
        <f>G9*0.35</f>
        <v>430.68666666666661</v>
      </c>
      <c r="I9" t="s">
        <v>7</v>
      </c>
      <c r="J9">
        <f>50270-12570</f>
        <v>37700</v>
      </c>
      <c r="K9">
        <f>J9*0.12</f>
        <v>4524</v>
      </c>
      <c r="Q9" s="6">
        <v>0.12</v>
      </c>
      <c r="R9">
        <f>50270-12570</f>
        <v>37700</v>
      </c>
      <c r="S9">
        <f>R9*0.12</f>
        <v>4524</v>
      </c>
    </row>
    <row r="10" spans="1:20" x14ac:dyDescent="0.3">
      <c r="B10" s="7" t="s">
        <v>10</v>
      </c>
      <c r="C10" s="4">
        <f>SUM(C8:C9)</f>
        <v>4958.6000000000004</v>
      </c>
      <c r="F10" t="s">
        <v>16</v>
      </c>
      <c r="G10" s="3">
        <f>G8/52</f>
        <v>283.96923076923076</v>
      </c>
      <c r="J10" t="s">
        <v>10</v>
      </c>
      <c r="K10" s="4">
        <f>SUM(K8:K9)</f>
        <v>6241.62</v>
      </c>
      <c r="Q10" s="6">
        <v>0.02</v>
      </c>
      <c r="R10">
        <f>R3-50270</f>
        <v>121730</v>
      </c>
      <c r="S10">
        <f>R10*0.02</f>
        <v>2434.6</v>
      </c>
    </row>
    <row r="11" spans="1:20" x14ac:dyDescent="0.3">
      <c r="A11" t="s">
        <v>12</v>
      </c>
      <c r="C11" s="4">
        <f>C6+C10</f>
        <v>21190.6</v>
      </c>
      <c r="R11" s="7" t="s">
        <v>10</v>
      </c>
      <c r="S11" s="4">
        <f>SUM(S9:S10)</f>
        <v>6958.6</v>
      </c>
    </row>
    <row r="12" spans="1:20" x14ac:dyDescent="0.3">
      <c r="A12" t="s">
        <v>13</v>
      </c>
      <c r="B12" t="s">
        <v>14</v>
      </c>
      <c r="C12" s="2">
        <f>B3-C11</f>
        <v>50809.4</v>
      </c>
      <c r="K12" t="s">
        <v>17</v>
      </c>
      <c r="O12" t="s">
        <v>17</v>
      </c>
      <c r="Q12" t="s">
        <v>12</v>
      </c>
      <c r="S12" s="4">
        <f>S7+S11</f>
        <v>63662.1</v>
      </c>
    </row>
    <row r="13" spans="1:20" x14ac:dyDescent="0.3">
      <c r="B13" t="s">
        <v>15</v>
      </c>
      <c r="C13" s="3">
        <f>C12/12</f>
        <v>4234.1166666666668</v>
      </c>
      <c r="I13" t="s">
        <v>18</v>
      </c>
      <c r="J13">
        <f>J3-27295</f>
        <v>108856</v>
      </c>
      <c r="K13">
        <f>J13*0.09</f>
        <v>9797.0399999999991</v>
      </c>
      <c r="M13" t="s">
        <v>18</v>
      </c>
      <c r="N13">
        <f>N3-27295</f>
        <v>15205</v>
      </c>
      <c r="O13">
        <f>IF(N13&lt;=0,0,N13*0.09)</f>
        <v>1368.45</v>
      </c>
      <c r="Q13" t="s">
        <v>13</v>
      </c>
      <c r="R13" t="s">
        <v>14</v>
      </c>
      <c r="S13" s="2">
        <f>R3-S12</f>
        <v>108337.9</v>
      </c>
      <c r="T13" s="1">
        <v>9751.89</v>
      </c>
    </row>
    <row r="14" spans="1:20" x14ac:dyDescent="0.3">
      <c r="B14" t="s">
        <v>16</v>
      </c>
      <c r="C14" s="3">
        <f>C12/52</f>
        <v>977.10384615384623</v>
      </c>
      <c r="F14">
        <f>39*3*48</f>
        <v>5616</v>
      </c>
      <c r="R14" t="s">
        <v>15</v>
      </c>
      <c r="S14" s="3">
        <f>S13/12</f>
        <v>9028.1583333333328</v>
      </c>
      <c r="T14" s="1">
        <v>9280.92</v>
      </c>
    </row>
    <row r="15" spans="1:20" x14ac:dyDescent="0.3">
      <c r="F15" s="1">
        <f>G8-F14</f>
        <v>9150.4</v>
      </c>
      <c r="G15" s="1"/>
      <c r="I15" t="s">
        <v>12</v>
      </c>
      <c r="K15">
        <f>K6+K10+K13</f>
        <v>57931.060000000005</v>
      </c>
      <c r="M15" t="s">
        <v>12</v>
      </c>
      <c r="O15">
        <f>O4+O8+O13</f>
        <v>10946.050000000001</v>
      </c>
      <c r="R15" t="s">
        <v>16</v>
      </c>
      <c r="S15" s="3">
        <f>S13/52</f>
        <v>2083.4211538461536</v>
      </c>
      <c r="T15" s="1">
        <f>T13-T14</f>
        <v>470.96999999999935</v>
      </c>
    </row>
    <row r="16" spans="1:20" x14ac:dyDescent="0.3">
      <c r="C16">
        <f>C12/B3</f>
        <v>0.70568611111111113</v>
      </c>
      <c r="F16">
        <f>F15/12</f>
        <v>762.5333333333333</v>
      </c>
      <c r="G16" s="1"/>
      <c r="T16">
        <f>T15/T14</f>
        <v>5.0746046728126021E-2</v>
      </c>
    </row>
    <row r="17" spans="2:15" x14ac:dyDescent="0.3">
      <c r="I17" t="s">
        <v>13</v>
      </c>
      <c r="J17" t="s">
        <v>14</v>
      </c>
      <c r="K17">
        <f>J3-K15</f>
        <v>78219.94</v>
      </c>
      <c r="M17" t="s">
        <v>13</v>
      </c>
      <c r="N17" t="s">
        <v>14</v>
      </c>
      <c r="O17">
        <f>N3-O15</f>
        <v>31553.949999999997</v>
      </c>
    </row>
    <row r="18" spans="2:15" x14ac:dyDescent="0.3">
      <c r="B18" s="1"/>
      <c r="J18" t="s">
        <v>15</v>
      </c>
      <c r="K18" s="1">
        <f>K17/12</f>
        <v>6518.3283333333338</v>
      </c>
      <c r="N18" t="s">
        <v>15</v>
      </c>
      <c r="O18" s="1">
        <f>O17/12</f>
        <v>2629.4958333333329</v>
      </c>
    </row>
    <row r="19" spans="2:15" x14ac:dyDescent="0.3">
      <c r="J19" t="s">
        <v>16</v>
      </c>
      <c r="K19" s="1">
        <f>K17/52</f>
        <v>1504.2296153846155</v>
      </c>
      <c r="N19" t="s">
        <v>16</v>
      </c>
      <c r="O19" s="1">
        <f>O17/52</f>
        <v>606.80673076923074</v>
      </c>
    </row>
    <row r="20" spans="2:15" x14ac:dyDescent="0.3">
      <c r="B20" s="7"/>
    </row>
    <row r="21" spans="2:15" x14ac:dyDescent="0.3">
      <c r="B21" s="7"/>
    </row>
    <row r="22" spans="2:15" x14ac:dyDescent="0.3">
      <c r="B22" s="7"/>
    </row>
    <row r="23" spans="2:15" x14ac:dyDescent="0.3">
      <c r="B23" s="5"/>
    </row>
    <row r="24" spans="2:15" x14ac:dyDescent="0.3">
      <c r="B24" s="5"/>
      <c r="O24" s="1"/>
    </row>
    <row r="25" spans="2:15" x14ac:dyDescent="0.3">
      <c r="C25" s="7"/>
      <c r="D25" s="4"/>
      <c r="O25" s="1"/>
    </row>
    <row r="27" spans="2:15" x14ac:dyDescent="0.3">
      <c r="B27" s="6"/>
      <c r="F27" s="5"/>
      <c r="H27" s="4"/>
    </row>
    <row r="28" spans="2:15" x14ac:dyDescent="0.3">
      <c r="B28" s="6"/>
    </row>
    <row r="29" spans="2:15" x14ac:dyDescent="0.3">
      <c r="C29" s="7"/>
      <c r="D29" s="4"/>
      <c r="F29" s="6"/>
      <c r="H29" s="4"/>
    </row>
    <row r="30" spans="2:15" x14ac:dyDescent="0.3">
      <c r="D30" s="4"/>
      <c r="H30" s="4"/>
    </row>
    <row r="31" spans="2:15" x14ac:dyDescent="0.3">
      <c r="D31" s="2"/>
      <c r="H31" s="2"/>
    </row>
    <row r="32" spans="2:15" x14ac:dyDescent="0.3">
      <c r="H32" s="3"/>
    </row>
    <row r="33" spans="8:8" x14ac:dyDescent="0.3">
      <c r="H33" s="3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workbookViewId="0">
      <selection activeCell="B4" sqref="B4"/>
    </sheetView>
  </sheetViews>
  <sheetFormatPr defaultColWidth="11" defaultRowHeight="15.6" x14ac:dyDescent="0.3"/>
  <sheetData>
    <row r="1" spans="1:15" x14ac:dyDescent="0.3">
      <c r="A1" t="s">
        <v>19</v>
      </c>
      <c r="E1" t="s">
        <v>20</v>
      </c>
      <c r="I1" t="s">
        <v>21</v>
      </c>
      <c r="M1" t="s">
        <v>22</v>
      </c>
    </row>
    <row r="2" spans="1:15" x14ac:dyDescent="0.3">
      <c r="C2" t="s">
        <v>5</v>
      </c>
      <c r="G2" t="s">
        <v>5</v>
      </c>
      <c r="K2" t="s">
        <v>5</v>
      </c>
      <c r="O2" t="s">
        <v>5</v>
      </c>
    </row>
    <row r="3" spans="1:15" x14ac:dyDescent="0.3">
      <c r="A3" t="s">
        <v>6</v>
      </c>
      <c r="B3">
        <v>145000</v>
      </c>
      <c r="E3" t="s">
        <v>6</v>
      </c>
      <c r="F3">
        <v>19760</v>
      </c>
      <c r="I3" t="s">
        <v>6</v>
      </c>
      <c r="J3">
        <f>68000*0.93</f>
        <v>63240</v>
      </c>
      <c r="M3" t="s">
        <v>6</v>
      </c>
      <c r="N3">
        <f>2280*12</f>
        <v>27360</v>
      </c>
    </row>
    <row r="4" spans="1:15" x14ac:dyDescent="0.3">
      <c r="A4" t="s">
        <v>7</v>
      </c>
      <c r="B4">
        <v>37700</v>
      </c>
      <c r="C4">
        <f>B4*0.2</f>
        <v>7540</v>
      </c>
      <c r="E4" t="s">
        <v>7</v>
      </c>
      <c r="F4">
        <f>F3-12570</f>
        <v>7190</v>
      </c>
      <c r="G4" s="4">
        <f>F4*0.2</f>
        <v>1438</v>
      </c>
      <c r="I4" t="s">
        <v>7</v>
      </c>
      <c r="J4">
        <v>37500</v>
      </c>
      <c r="K4">
        <f>J4*0.2</f>
        <v>7500</v>
      </c>
      <c r="M4" t="s">
        <v>7</v>
      </c>
      <c r="N4">
        <f>N3-12500</f>
        <v>14860</v>
      </c>
      <c r="O4">
        <f>N4*0.2</f>
        <v>2972</v>
      </c>
    </row>
    <row r="5" spans="1:15" x14ac:dyDescent="0.3">
      <c r="A5" t="s">
        <v>9</v>
      </c>
      <c r="B5">
        <f>B3-12570-B4</f>
        <v>94730</v>
      </c>
      <c r="C5">
        <f>B5*0.4</f>
        <v>37892</v>
      </c>
      <c r="G5" t="s">
        <v>8</v>
      </c>
      <c r="I5" t="s">
        <v>9</v>
      </c>
      <c r="J5">
        <f>J3-12500-J4</f>
        <v>13240</v>
      </c>
      <c r="K5">
        <f>J5*0.4</f>
        <v>5296</v>
      </c>
    </row>
    <row r="6" spans="1:15" x14ac:dyDescent="0.3">
      <c r="B6" t="s">
        <v>10</v>
      </c>
      <c r="C6" s="4">
        <f>SUM(C4:C5)</f>
        <v>45432</v>
      </c>
      <c r="E6" t="s">
        <v>7</v>
      </c>
      <c r="F6">
        <f>F3-9568</f>
        <v>10192</v>
      </c>
      <c r="G6" s="4">
        <f>F6*0.12</f>
        <v>1223.04</v>
      </c>
      <c r="J6" t="s">
        <v>10</v>
      </c>
      <c r="K6">
        <f>SUM(K4:K5)</f>
        <v>12796</v>
      </c>
    </row>
    <row r="7" spans="1:15" x14ac:dyDescent="0.3">
      <c r="C7" t="s">
        <v>8</v>
      </c>
      <c r="E7" t="s">
        <v>12</v>
      </c>
      <c r="G7" s="4">
        <f>G4+G6</f>
        <v>2661.04</v>
      </c>
    </row>
    <row r="8" spans="1:15" x14ac:dyDescent="0.3">
      <c r="A8" t="s">
        <v>9</v>
      </c>
      <c r="B8">
        <f>B3-50270</f>
        <v>94730</v>
      </c>
      <c r="C8">
        <f>B8*0.02</f>
        <v>1894.6000000000001</v>
      </c>
      <c r="E8" t="s">
        <v>13</v>
      </c>
      <c r="F8" t="s">
        <v>14</v>
      </c>
      <c r="G8" s="2">
        <f>F3-G7</f>
        <v>17098.96</v>
      </c>
      <c r="K8" t="s">
        <v>8</v>
      </c>
      <c r="O8" t="s">
        <v>8</v>
      </c>
    </row>
    <row r="9" spans="1:15" x14ac:dyDescent="0.3">
      <c r="A9" t="s">
        <v>7</v>
      </c>
      <c r="B9">
        <f>50270-9568</f>
        <v>40702</v>
      </c>
      <c r="C9">
        <f>B9*0.12</f>
        <v>4884.24</v>
      </c>
      <c r="F9" t="s">
        <v>15</v>
      </c>
      <c r="G9" s="3">
        <f>G8/12</f>
        <v>1424.9133333333332</v>
      </c>
      <c r="I9" t="s">
        <v>9</v>
      </c>
      <c r="J9">
        <f>J3-50000</f>
        <v>13240</v>
      </c>
      <c r="K9">
        <f>J9*0.02</f>
        <v>264.8</v>
      </c>
      <c r="M9" t="s">
        <v>7</v>
      </c>
      <c r="N9">
        <f>N3-9500</f>
        <v>17860</v>
      </c>
      <c r="O9">
        <f>N9*0.12</f>
        <v>2143.1999999999998</v>
      </c>
    </row>
    <row r="10" spans="1:15" x14ac:dyDescent="0.3">
      <c r="B10" t="s">
        <v>10</v>
      </c>
      <c r="C10" s="4">
        <f>SUM(C8:C9)</f>
        <v>6778.84</v>
      </c>
      <c r="F10" t="s">
        <v>16</v>
      </c>
      <c r="G10" s="3">
        <f>G8/52</f>
        <v>328.82615384615383</v>
      </c>
      <c r="I10" t="s">
        <v>7</v>
      </c>
      <c r="J10">
        <f>50000-9500</f>
        <v>40500</v>
      </c>
      <c r="K10">
        <f>J10*0.12</f>
        <v>4860</v>
      </c>
    </row>
    <row r="11" spans="1:15" x14ac:dyDescent="0.3">
      <c r="A11" t="s">
        <v>12</v>
      </c>
      <c r="C11" s="4">
        <f>C6+C10</f>
        <v>52210.84</v>
      </c>
      <c r="J11" t="s">
        <v>10</v>
      </c>
      <c r="K11">
        <f>SUM(K9:K10)</f>
        <v>5124.8</v>
      </c>
    </row>
    <row r="12" spans="1:15" x14ac:dyDescent="0.3">
      <c r="A12" t="s">
        <v>13</v>
      </c>
      <c r="B12" t="s">
        <v>14</v>
      </c>
      <c r="C12" s="2">
        <f>B3-C11</f>
        <v>92789.16</v>
      </c>
    </row>
    <row r="13" spans="1:15" x14ac:dyDescent="0.3">
      <c r="B13" t="s">
        <v>15</v>
      </c>
      <c r="C13" s="3">
        <f>C12/12</f>
        <v>7732.43</v>
      </c>
      <c r="K13" t="s">
        <v>17</v>
      </c>
      <c r="O13" t="s">
        <v>17</v>
      </c>
    </row>
    <row r="14" spans="1:15" x14ac:dyDescent="0.3">
      <c r="B14" t="s">
        <v>16</v>
      </c>
      <c r="C14" s="3">
        <f>C12/52</f>
        <v>1784.4069230769232</v>
      </c>
      <c r="I14" t="s">
        <v>18</v>
      </c>
      <c r="J14">
        <f>J3-19390</f>
        <v>43850</v>
      </c>
      <c r="K14">
        <f>J14*0.09</f>
        <v>3946.5</v>
      </c>
      <c r="M14" t="s">
        <v>18</v>
      </c>
      <c r="N14">
        <f>N3-26575</f>
        <v>785</v>
      </c>
      <c r="O14">
        <f>N14*0.09</f>
        <v>70.649999999999991</v>
      </c>
    </row>
    <row r="15" spans="1:15" x14ac:dyDescent="0.3">
      <c r="G15" s="1"/>
    </row>
    <row r="16" spans="1:15" x14ac:dyDescent="0.3">
      <c r="C16">
        <f>C11/B3</f>
        <v>0.36007475862068961</v>
      </c>
      <c r="G16" s="1"/>
    </row>
    <row r="17" spans="2:15" x14ac:dyDescent="0.3">
      <c r="I17" t="s">
        <v>12</v>
      </c>
      <c r="K17">
        <f>K6+K11+K14</f>
        <v>21867.3</v>
      </c>
      <c r="M17" t="s">
        <v>12</v>
      </c>
      <c r="O17">
        <f>O4+O9+O14</f>
        <v>5185.8499999999995</v>
      </c>
    </row>
    <row r="18" spans="2:15" x14ac:dyDescent="0.3">
      <c r="B18" s="1"/>
    </row>
    <row r="19" spans="2:15" x14ac:dyDescent="0.3">
      <c r="I19" t="s">
        <v>13</v>
      </c>
      <c r="J19" t="s">
        <v>14</v>
      </c>
      <c r="K19">
        <f>J3-K17</f>
        <v>41372.699999999997</v>
      </c>
      <c r="M19" t="s">
        <v>13</v>
      </c>
      <c r="N19" t="s">
        <v>14</v>
      </c>
      <c r="O19">
        <f>N3-O17</f>
        <v>22174.15</v>
      </c>
    </row>
    <row r="20" spans="2:15" x14ac:dyDescent="0.3">
      <c r="E20">
        <f>28*37*52</f>
        <v>53872</v>
      </c>
      <c r="J20" t="s">
        <v>15</v>
      </c>
      <c r="K20" s="1">
        <f>K19/12</f>
        <v>3447.7249999999999</v>
      </c>
      <c r="N20" t="s">
        <v>15</v>
      </c>
      <c r="O20" s="1">
        <f>O19/12</f>
        <v>1847.8458333333335</v>
      </c>
    </row>
    <row r="21" spans="2:15" x14ac:dyDescent="0.3">
      <c r="J21" t="s">
        <v>16</v>
      </c>
      <c r="K21" s="1">
        <f>K19/52</f>
        <v>795.6288461538461</v>
      </c>
      <c r="N21" t="s">
        <v>16</v>
      </c>
      <c r="O21" s="1">
        <f>O19/52</f>
        <v>426.42596153846159</v>
      </c>
    </row>
    <row r="22" spans="2:15" x14ac:dyDescent="0.3">
      <c r="C22">
        <f>10.5*5*39/12</f>
        <v>170.625</v>
      </c>
    </row>
    <row r="23" spans="2:15" x14ac:dyDescent="0.3">
      <c r="M23" t="s">
        <v>23</v>
      </c>
    </row>
    <row r="25" spans="2:15" x14ac:dyDescent="0.3">
      <c r="M25" t="s">
        <v>13</v>
      </c>
      <c r="N25" t="s">
        <v>14</v>
      </c>
      <c r="O25">
        <f>N3-O4-O9</f>
        <v>22244.799999999999</v>
      </c>
    </row>
    <row r="26" spans="2:15" x14ac:dyDescent="0.3">
      <c r="N26" t="s">
        <v>15</v>
      </c>
      <c r="O26" s="1">
        <f>O25/12</f>
        <v>1853.7333333333333</v>
      </c>
    </row>
    <row r="27" spans="2:15" x14ac:dyDescent="0.3">
      <c r="N27" t="s">
        <v>16</v>
      </c>
      <c r="O27" s="1">
        <f>O25/52</f>
        <v>427.78461538461539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f649792-285f-448a-ac37-27dbc7564a3c" xsi:nil="true"/>
    <lcf76f155ced4ddcb4097134ff3c332f xmlns="4b906540-8e59-4900-aa70-4d8f01f394b8">
      <Terms xmlns="http://schemas.microsoft.com/office/infopath/2007/PartnerControls"/>
    </lcf76f155ced4ddcb4097134ff3c332f>
    <MediaLengthInSeconds xmlns="4b906540-8e59-4900-aa70-4d8f01f394b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B18FA1BE75ED14CBF56BF0AC0865097" ma:contentTypeVersion="13" ma:contentTypeDescription="Create a new document." ma:contentTypeScope="" ma:versionID="2af1e5cc960c14bb7517131bf1d18ee5">
  <xsd:schema xmlns:xsd="http://www.w3.org/2001/XMLSchema" xmlns:xs="http://www.w3.org/2001/XMLSchema" xmlns:p="http://schemas.microsoft.com/office/2006/metadata/properties" xmlns:ns2="4b906540-8e59-4900-aa70-4d8f01f394b8" xmlns:ns3="ff649792-285f-448a-ac37-27dbc7564a3c" targetNamespace="http://schemas.microsoft.com/office/2006/metadata/properties" ma:root="true" ma:fieldsID="84548306d0fdcff79b1ec3b17fe834a0" ns2:_="" ns3:_="">
    <xsd:import namespace="4b906540-8e59-4900-aa70-4d8f01f394b8"/>
    <xsd:import namespace="ff649792-285f-448a-ac37-27dbc7564a3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906540-8e59-4900-aa70-4d8f01f394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d8b281fd-f0ff-4b79-892a-504064d5e7e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649792-285f-448a-ac37-27dbc7564a3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67094cd1-5694-4001-92b1-ccc57481c8a9}" ma:internalName="TaxCatchAll" ma:showField="CatchAllData" ma:web="ff649792-285f-448a-ac37-27dbc7564a3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A1BED09-AC3D-45F6-9570-D5EE32478A6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C1EBF5D-DA43-4C70-8E6B-BD8D4CDA2512}">
  <ds:schemaRefs>
    <ds:schemaRef ds:uri="http://schemas.microsoft.com/office/2006/documentManagement/types"/>
    <ds:schemaRef ds:uri="ff649792-285f-448a-ac37-27dbc7564a3c"/>
    <ds:schemaRef ds:uri="http://www.w3.org/XML/1998/namespace"/>
    <ds:schemaRef ds:uri="http://purl.org/dc/dcmitype/"/>
    <ds:schemaRef ds:uri="http://purl.org/dc/terms/"/>
    <ds:schemaRef ds:uri="4b906540-8e59-4900-aa70-4d8f01f394b8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95CF843-B1A3-44D5-8D94-E66A33FB37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906540-8e59-4900-aa70-4d8f01f394b8"/>
    <ds:schemaRef ds:uri="ff649792-285f-448a-ac37-27dbc7564a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2025</vt:lpstr>
      <vt:lpstr>50270</vt:lpstr>
      <vt:lpstr>50000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Nikki Cooper</dc:creator>
  <cp:keywords/>
  <dc:description/>
  <cp:lastModifiedBy>Mrs N Cooper</cp:lastModifiedBy>
  <cp:revision/>
  <dcterms:created xsi:type="dcterms:W3CDTF">2022-01-09T17:47:53Z</dcterms:created>
  <dcterms:modified xsi:type="dcterms:W3CDTF">2025-03-15T14:52:07Z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0x0101005B18FA1BE75ED14CBF56BF0AC0865097</vt:lpwstr>
  </property>
  <property fmtid="{D5CDD505-2E9C-101B-9397-08002B2CF9AE}" pid="3" name="Order">
    <vt:r8>39500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ComplianceAssetId">
    <vt:lpwstr/>
  </property>
  <property fmtid="{D5CDD505-2E9C-101B-9397-08002B2CF9AE}" pid="9" name="TemplateUrl">
    <vt:lpwstr/>
  </property>
  <property fmtid="{D5CDD505-2E9C-101B-9397-08002B2CF9AE}" pid="10" name="MediaServiceImageTags">
    <vt:lpwstr/>
  </property>
</Properties>
</file>